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xelPalmaersCooperli\Downloads\"/>
    </mc:Choice>
  </mc:AlternateContent>
  <xr:revisionPtr revIDLastSave="0" documentId="13_ncr:1_{6CD6B124-38D0-47BC-86CE-06087C9B18BC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Workflow" sheetId="15" r:id="rId1"/>
    <sheet name="Workflow Externe" sheetId="17" state="hidden" r:id="rId2"/>
    <sheet name="Config" sheetId="19" r:id="rId3"/>
    <sheet name="Generator" sheetId="18" state="hidden" r:id="rId4"/>
  </sheets>
  <definedNames>
    <definedName name="_xlnm._FilterDatabase" localSheetId="0" hidden="1">Workflow!$B$15:$EU$16</definedName>
    <definedName name="_xlnm._FilterDatabase" localSheetId="1" hidden="1">'Workflow Externe'!$B$9:$S$11</definedName>
    <definedName name="Aborted">Config!$B$22</definedName>
    <definedName name="Annotation">Config!$B$11</definedName>
    <definedName name="ApprovalDate">Config!$B$14</definedName>
    <definedName name="Assigned">Config!$B$8</definedName>
    <definedName name="Attachment">Config!$B$12</definedName>
    <definedName name="Comment">Config!$B$10</definedName>
    <definedName name="Contribute">Config!$B$7</definedName>
    <definedName name="Current">Config!$B$24</definedName>
    <definedName name="DaysEarlier">Config!$B$2</definedName>
    <definedName name="DaysLater">Config!$B$4</definedName>
    <definedName name="DaysLeft">Config!$B$3</definedName>
    <definedName name="DaysOverdue">Config!$B$5</definedName>
    <definedName name="Deadline">Config!$B$13</definedName>
    <definedName name="Delay">Config!$B$15</definedName>
    <definedName name="_xlnm.Print_Titles" localSheetId="0">Workflow!$4:$15</definedName>
    <definedName name="_xlnm.Print_Titles" localSheetId="1">'Workflow Externe'!$4:$9</definedName>
    <definedName name="Link">Config!$B$16</definedName>
    <definedName name="Negative">Config!$B$20</definedName>
    <definedName name="None">Config!$B$21</definedName>
    <definedName name="Positive">Config!$B$19</definedName>
    <definedName name="Previous">Config!$B$23</definedName>
    <definedName name="REFERENCE_DATE">Workflow!$S$5</definedName>
    <definedName name="Status">Config!$B$9</definedName>
    <definedName name="Status1">Config!$B$27</definedName>
    <definedName name="Status2">Config!$B$28</definedName>
    <definedName name="Status3">Config!$B$29</definedName>
    <definedName name="Status4">Config!$B$30</definedName>
    <definedName name="Status5">Config!$B$31</definedName>
    <definedName name="Status6">Config!$B$32</definedName>
    <definedName name="StatusKey1">Config!$A$27</definedName>
    <definedName name="StatusKey2">Config!$A$28</definedName>
    <definedName name="StatusKey3">Config!$A$29</definedName>
    <definedName name="StatusKey4">Config!$A$30</definedName>
    <definedName name="StatusKey5">Config!$A$31</definedName>
    <definedName name="StatusKey6">Config!$A$32</definedName>
    <definedName name="StatusKeyToDo">Config!$A$33</definedName>
    <definedName name="StatusToDo">Config!$B$33</definedName>
    <definedName name="_xlnm.Print_Area" localSheetId="0">Workflow!$A$4:$CA$16</definedName>
    <definedName name="_xlnm.Print_Area" localSheetId="1">'Workflow Externe'!$A$4:$L$11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O16" i="15" l="1"/>
  <c r="BM16" i="15"/>
  <c r="BL16" i="15"/>
  <c r="BD16" i="15"/>
  <c r="BO15" i="15"/>
  <c r="BN15" i="15"/>
  <c r="BM15" i="15"/>
  <c r="BL15" i="15"/>
  <c r="BK15" i="15"/>
  <c r="BJ15" i="15"/>
  <c r="BI15" i="15"/>
  <c r="BH15" i="15"/>
  <c r="BG15" i="15"/>
  <c r="BF15" i="15"/>
  <c r="BE15" i="15"/>
  <c r="BD15" i="15"/>
  <c r="BO13" i="15"/>
  <c r="BD13" i="15"/>
  <c r="L10" i="18"/>
  <c r="J10" i="18"/>
  <c r="I10" i="18"/>
  <c r="A10" i="18"/>
  <c r="L9" i="18"/>
  <c r="K9" i="18"/>
  <c r="J9" i="18"/>
  <c r="I9" i="18"/>
  <c r="H9" i="18"/>
  <c r="G9" i="18"/>
  <c r="F9" i="18"/>
  <c r="E9" i="18"/>
  <c r="D9" i="18"/>
  <c r="C9" i="18"/>
  <c r="B9" i="18"/>
  <c r="A9" i="18"/>
  <c r="A8" i="18"/>
  <c r="L7" i="18"/>
  <c r="A7" i="18"/>
  <c r="BC16" i="15"/>
  <c r="BA16" i="15"/>
  <c r="AZ16" i="15"/>
  <c r="AR16" i="15"/>
  <c r="BC15" i="15"/>
  <c r="BB15" i="15"/>
  <c r="BA15" i="15"/>
  <c r="AZ15" i="15"/>
  <c r="AY15" i="15"/>
  <c r="AX15" i="15"/>
  <c r="AW15" i="15"/>
  <c r="AV15" i="15"/>
  <c r="AU15" i="15"/>
  <c r="AT15" i="15"/>
  <c r="AS15" i="15"/>
  <c r="AR15" i="15"/>
  <c r="BC13" i="15"/>
  <c r="AR13" i="15"/>
  <c r="AQ16" i="15"/>
  <c r="AO16" i="15"/>
  <c r="AN16" i="15"/>
  <c r="AF16" i="15"/>
  <c r="AQ15" i="15"/>
  <c r="AP15" i="15"/>
  <c r="AO15" i="15"/>
  <c r="AN15" i="15"/>
  <c r="AM15" i="15"/>
  <c r="AL15" i="15"/>
  <c r="AK15" i="15"/>
  <c r="AJ15" i="15"/>
  <c r="AI15" i="15"/>
  <c r="AH15" i="15"/>
  <c r="AG15" i="15"/>
  <c r="AF15" i="15"/>
  <c r="AQ13" i="15"/>
  <c r="AF13" i="15"/>
  <c r="ES16" i="15"/>
  <c r="EJ16" i="15"/>
  <c r="EU15" i="15"/>
  <c r="ET15" i="15"/>
  <c r="ES15" i="15"/>
  <c r="ER15" i="15"/>
  <c r="EQ15" i="15"/>
  <c r="EP15" i="15"/>
  <c r="EO15" i="15"/>
  <c r="EN15" i="15"/>
  <c r="EM15" i="15"/>
  <c r="EL15" i="15"/>
  <c r="EK15" i="15"/>
  <c r="EJ15" i="15"/>
  <c r="EU13" i="15"/>
  <c r="EJ13" i="15"/>
  <c r="CA16" i="15"/>
  <c r="BY16" i="15"/>
  <c r="BX16" i="15"/>
  <c r="BP16" i="15"/>
  <c r="CA15" i="15"/>
  <c r="BZ15" i="15"/>
  <c r="BY15" i="15"/>
  <c r="BX15" i="15"/>
  <c r="BW15" i="15"/>
  <c r="BV15" i="15"/>
  <c r="BU15" i="15"/>
  <c r="BT15" i="15"/>
  <c r="BS15" i="15"/>
  <c r="BR15" i="15"/>
  <c r="BQ15" i="15"/>
  <c r="BP15" i="15"/>
  <c r="CA13" i="15"/>
  <c r="BP13" i="15"/>
  <c r="AD16" i="15" l="1"/>
  <c r="EU16" i="15"/>
  <c r="EY16" i="15"/>
  <c r="EX16" i="15" l="1"/>
  <c r="Z16" i="15"/>
  <c r="AE16" i="15" l="1"/>
  <c r="X11" i="15" l="1"/>
  <c r="X10" i="15"/>
  <c r="X9" i="15"/>
  <c r="X8" i="15"/>
  <c r="X7" i="15"/>
  <c r="X6" i="15"/>
  <c r="W11" i="15"/>
  <c r="W10" i="15"/>
  <c r="W9" i="15"/>
  <c r="W8" i="15"/>
  <c r="W7" i="15"/>
  <c r="W6" i="15"/>
  <c r="X5" i="15"/>
  <c r="W5" i="15"/>
  <c r="U16" i="15"/>
  <c r="ER16" i="15" s="1"/>
  <c r="EW16" i="15" l="1"/>
  <c r="EZ16" i="15" s="1"/>
  <c r="EY19" i="15"/>
  <c r="EX19" i="15"/>
  <c r="EW19" i="15"/>
  <c r="EZ19" i="15" s="1"/>
  <c r="EU19" i="15"/>
  <c r="ES19" i="15"/>
  <c r="ER19" i="15"/>
  <c r="EJ19" i="15"/>
  <c r="CA19" i="15"/>
  <c r="BY19" i="15"/>
  <c r="BX19" i="15"/>
  <c r="BP19" i="15"/>
  <c r="BO19" i="15"/>
  <c r="BM19" i="15"/>
  <c r="BL19" i="15"/>
  <c r="BD19" i="15"/>
  <c r="BC19" i="15"/>
  <c r="BA19" i="15"/>
  <c r="AZ19" i="15"/>
  <c r="AR19" i="15"/>
  <c r="AQ19" i="15"/>
  <c r="AO19" i="15"/>
  <c r="AN19" i="15"/>
  <c r="AF19" i="15"/>
  <c r="AE19" i="15"/>
  <c r="AD19" i="15"/>
  <c r="Z19" i="15"/>
  <c r="U19" i="15"/>
  <c r="EY18" i="15"/>
  <c r="EX18" i="15"/>
  <c r="EW18" i="15"/>
  <c r="EU18" i="15"/>
  <c r="ES18" i="15"/>
  <c r="ER18" i="15"/>
  <c r="EJ18" i="15"/>
  <c r="EZ18" i="15" s="1"/>
  <c r="CA18" i="15"/>
  <c r="BY18" i="15"/>
  <c r="BX18" i="15"/>
  <c r="BP18" i="15"/>
  <c r="BO18" i="15"/>
  <c r="BM18" i="15"/>
  <c r="BL18" i="15"/>
  <c r="BD18" i="15"/>
  <c r="BC18" i="15"/>
  <c r="BA18" i="15"/>
  <c r="AZ18" i="15"/>
  <c r="AR18" i="15"/>
  <c r="AQ18" i="15"/>
  <c r="AO18" i="15"/>
  <c r="AN18" i="15"/>
  <c r="AF18" i="15"/>
  <c r="AE18" i="15"/>
  <c r="AD18" i="15"/>
  <c r="Z18" i="15"/>
  <c r="U18" i="15"/>
  <c r="EY17" i="15"/>
  <c r="EX17" i="15"/>
  <c r="EW17" i="15"/>
  <c r="EZ17" i="15" s="1"/>
  <c r="EU17" i="15"/>
  <c r="ES17" i="15"/>
  <c r="EJ17" i="15"/>
  <c r="CA17" i="15"/>
  <c r="BY17" i="15"/>
  <c r="BX17" i="15"/>
  <c r="BP17" i="15"/>
  <c r="BO17" i="15"/>
  <c r="BM17" i="15"/>
  <c r="BL17" i="15"/>
  <c r="BD17" i="15"/>
  <c r="BC17" i="15"/>
  <c r="BA17" i="15"/>
  <c r="AR17" i="15"/>
  <c r="AQ17" i="15"/>
  <c r="AO17" i="15"/>
  <c r="AN17" i="15"/>
  <c r="AF17" i="15"/>
  <c r="AE17" i="15"/>
  <c r="AD17" i="15"/>
  <c r="Z17" i="15"/>
  <c r="U17" i="15"/>
  <c r="ER17" i="15" s="1"/>
  <c r="AZ17" i="15" l="1"/>
</calcChain>
</file>

<file path=xl/sharedStrings.xml><?xml version="1.0" encoding="utf-8"?>
<sst xmlns="http://schemas.openxmlformats.org/spreadsheetml/2006/main" count="257" uniqueCount="160">
  <si>
    <t>WORKFLOW REGISTER</t>
  </si>
  <si>
    <t>DETAILS</t>
  </si>
  <si>
    <t>PROJECT</t>
  </si>
  <si>
    <t>TYPE</t>
  </si>
  <si>
    <t>DISCIPLINE</t>
  </si>
  <si>
    <t>NUMBER</t>
  </si>
  <si>
    <t>REVISION</t>
  </si>
  <si>
    <t>TITLE</t>
  </si>
  <si>
    <t>DESCRIPTION</t>
  </si>
  <si>
    <t>DATE</t>
  </si>
  <si>
    <t>CURRENT STEP</t>
  </si>
  <si>
    <t>COMPLETED STATUS</t>
  </si>
  <si>
    <t>LIFE STATUS</t>
  </si>
  <si>
    <t>Count Comments</t>
  </si>
  <si>
    <t>Count attachments</t>
  </si>
  <si>
    <t>${completed_status}</t>
  </si>
  <si>
    <t>ORIGINATOR</t>
  </si>
  <si>
    <t>PHASE</t>
  </si>
  <si>
    <t>TRADE
SUB TRADE</t>
  </si>
  <si>
    <t>ZONE</t>
  </si>
  <si>
    <t>LEVEL</t>
  </si>
  <si>
    <t>LIEN COOPERLINK</t>
  </si>
  <si>
    <r>
      <rPr>
        <b/>
        <sz val="12"/>
        <rFont val="Arial"/>
        <family val="2"/>
      </rPr>
      <t>TRANSMISSION VERS LA SNCB</t>
    </r>
    <r>
      <rPr>
        <b/>
        <sz val="10"/>
        <rFont val="Arial"/>
        <family val="2"/>
      </rPr>
      <t xml:space="preserve">
(WORFLOW EXTERNE)</t>
    </r>
  </si>
  <si>
    <t>COMMENTAIRE</t>
  </si>
  <si>
    <r>
      <t>DUR</t>
    </r>
    <r>
      <rPr>
        <b/>
        <sz val="9"/>
        <rFont val="Calibri"/>
        <family val="2"/>
      </rPr>
      <t>É</t>
    </r>
    <r>
      <rPr>
        <b/>
        <sz val="9"/>
        <rFont val="Arial"/>
        <family val="2"/>
      </rPr>
      <t>E EXAMEN</t>
    </r>
  </si>
  <si>
    <r>
      <t>ÉCH</t>
    </r>
    <r>
      <rPr>
        <b/>
        <sz val="9"/>
        <rFont val="Calibri"/>
        <family val="2"/>
      </rPr>
      <t>É</t>
    </r>
    <r>
      <rPr>
        <b/>
        <sz val="9"/>
        <rFont val="Arial"/>
        <family val="2"/>
      </rPr>
      <t>ANCE</t>
    </r>
  </si>
  <si>
    <t>STATUT</t>
  </si>
  <si>
    <t>DATE APPROB.</t>
  </si>
  <si>
    <t>Dictionnary</t>
  </si>
  <si>
    <t>Word</t>
  </si>
  <si>
    <t>Description</t>
  </si>
  <si>
    <t>Days earlier</t>
  </si>
  <si>
    <t>Days remaining</t>
  </si>
  <si>
    <t>Days too late</t>
  </si>
  <si>
    <t>Days overdued</t>
  </si>
  <si>
    <t>Not yet planned</t>
  </si>
  <si>
    <t>Contribute</t>
  </si>
  <si>
    <t>Contrib.</t>
  </si>
  <si>
    <t>Assigned</t>
  </si>
  <si>
    <t>Status</t>
  </si>
  <si>
    <t>Comment</t>
  </si>
  <si>
    <t>Comment.</t>
  </si>
  <si>
    <t>Attachment</t>
  </si>
  <si>
    <t>Deadline</t>
  </si>
  <si>
    <t>Approval date</t>
  </si>
  <si>
    <t>Delay</t>
  </si>
  <si>
    <t>Link</t>
  </si>
  <si>
    <t>Statuses</t>
  </si>
  <si>
    <t>Positive</t>
  </si>
  <si>
    <t>APPROUVE</t>
  </si>
  <si>
    <t>Negative</t>
  </si>
  <si>
    <t>None</t>
  </si>
  <si>
    <t>Aborted</t>
  </si>
  <si>
    <t>Previous</t>
  </si>
  <si>
    <t>Current</t>
  </si>
  <si>
    <t>Answers</t>
  </si>
  <si>
    <t>A</t>
  </si>
  <si>
    <t>B</t>
  </si>
  <si>
    <t>C</t>
  </si>
  <si>
    <t>D</t>
  </si>
  <si>
    <t>Undefined</t>
  </si>
  <si>
    <t>To do</t>
  </si>
  <si>
    <t>Keyu Prefix</t>
  </si>
  <si>
    <t>Role title</t>
  </si>
  <si>
    <t>Role</t>
  </si>
  <si>
    <t>Company name</t>
  </si>
  <si>
    <t>Displayed Role</t>
  </si>
  <si>
    <t>Answer Key Suffix</t>
  </si>
  <si>
    <t>answer</t>
  </si>
  <si>
    <t>Comment Key Suffix</t>
  </si>
  <si>
    <t>comment</t>
  </si>
  <si>
    <t>wust_rhea</t>
  </si>
  <si>
    <t>acc</t>
  </si>
  <si>
    <t>Acoustique</t>
  </si>
  <si>
    <t>ATS</t>
  </si>
  <si>
    <t>j restant</t>
  </si>
  <si>
    <t>Assigné</t>
  </si>
  <si>
    <t>Statut</t>
  </si>
  <si>
    <t>Pièce j.</t>
  </si>
  <si>
    <t>Échéance</t>
  </si>
  <si>
    <t>Délai</t>
  </si>
  <si>
    <t>Lien</t>
  </si>
  <si>
    <t>REFUSE</t>
  </si>
  <si>
    <t>EN COURS -</t>
  </si>
  <si>
    <t>ARRETE</t>
  </si>
  <si>
    <t>Obsolète</t>
  </si>
  <si>
    <t>En vigueur</t>
  </si>
  <si>
    <t>Approuvé</t>
  </si>
  <si>
    <t>Approuvé avec commentaires</t>
  </si>
  <si>
    <t>Refusé</t>
  </si>
  <si>
    <t>Non concerné</t>
  </si>
  <si>
    <t>Tâche ouverte</t>
  </si>
  <si>
    <t>NUMERO</t>
  </si>
  <si>
    <t>FABRICANT</t>
  </si>
  <si>
    <t>FOURNISSEUR</t>
  </si>
  <si>
    <t>REF. PRODUIT</t>
  </si>
  <si>
    <t>ART. CSC</t>
  </si>
  <si>
    <t>CONFORMITE CSC</t>
  </si>
  <si>
    <t>ECHANTILLON</t>
  </si>
  <si>
    <t>IMPACT FINANCIER</t>
  </si>
  <si>
    <t>PLAN N°</t>
  </si>
  <si>
    <t>DOCUMENTATION</t>
  </si>
  <si>
    <t>MODELE DE
WORKFLOW</t>
  </si>
  <si>
    <t>NOM DU 
WORKFLOW</t>
  </si>
  <si>
    <t>NOM DU
FICHIER</t>
  </si>
  <si>
    <t>CONCERNE</t>
  </si>
  <si>
    <t>DELAI
 PHASE 1</t>
  </si>
  <si>
    <t>DELAI
 PHASE 2</t>
  </si>
  <si>
    <t>TRANSMISSION</t>
  </si>
  <si>
    <t>Annotation</t>
  </si>
  <si>
    <t>Count markups</t>
  </si>
  <si>
    <t>ECHEANCE THEORIQUE</t>
  </si>
  <si>
    <t>Créé avec passion par Cooperlink</t>
  </si>
  <si>
    <t>COMMENTAIRES</t>
  </si>
  <si>
    <t>Date approb.</t>
  </si>
  <si>
    <t>j avant</t>
  </si>
  <si>
    <t>j + tard</t>
  </si>
  <si>
    <t>j retard</t>
  </si>
  <si>
    <t>${wust_rhea_acc}</t>
  </si>
  <si>
    <t>${actions.wust_rhea_action_acc.wust_rhea_answer}</t>
  </si>
  <si>
    <t>${actions.wust_rhea_action_acc.wust_rhea_comment}</t>
  </si>
  <si>
    <t>${actions.wust_rhea_action_acc.attachment_count}</t>
  </si>
  <si>
    <t>${actions.wust_rhea_action_acc.markup_count}</t>
  </si>
  <si>
    <t>${actions.wust_rhea_action_acc.due_date}</t>
  </si>
  <si>
    <t>${actions.wust_rhea_action_acc.completedate}</t>
  </si>
  <si>
    <t>En attente</t>
  </si>
  <si>
    <t>CL</t>
  </si>
  <si>
    <t>COOP</t>
  </si>
  <si>
    <t>Test Fabricant</t>
  </si>
  <si>
    <t>Test fournisseur</t>
  </si>
  <si>
    <t>Test ref produit</t>
  </si>
  <si>
    <t>Test ref CSC</t>
  </si>
  <si>
    <t>Oui</t>
  </si>
  <si>
    <t>Non</t>
  </si>
  <si>
    <t>Test plan no</t>
  </si>
  <si>
    <t>Test documentation</t>
  </si>
  <si>
    <t>Cooperlink Demo Documents DELIVER.pdf</t>
  </si>
  <si>
    <t>Test Concerne</t>
  </si>
  <si>
    <t>Test description</t>
  </si>
  <si>
    <t>Validation Conseil</t>
  </si>
  <si>
    <t>NONE</t>
  </si>
  <si>
    <t>CURRENT</t>
  </si>
  <si>
    <t>Administrateur Cooperlink</t>
  </si>
  <si>
    <t>Test commentaire</t>
  </si>
  <si>
    <t>NEGATIVE</t>
  </si>
  <si>
    <t>PREVIOUS</t>
  </si>
  <si>
    <t>0</t>
  </si>
  <si>
    <t>POSITIVE</t>
  </si>
  <si>
    <t>Commentaire Architecte Test</t>
  </si>
  <si>
    <t>Commentaire Stabilité / TS Test</t>
  </si>
  <si>
    <t>Commentaire CSS Test</t>
  </si>
  <si>
    <t>Commentaire MO Test</t>
  </si>
  <si>
    <t>Test fabricant</t>
  </si>
  <si>
    <t>Test concerne</t>
  </si>
  <si>
    <t>COOPERBUILD</t>
  </si>
  <si>
    <t>CB</t>
  </si>
  <si>
    <t>VISA FT CB - Architecture</t>
  </si>
  <si>
    <t>VISA FT SUB - TS</t>
  </si>
  <si>
    <t>PROJECT XYZ</t>
  </si>
  <si>
    <t>XYZ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</si>
</sst>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\j"/>
    <numFmt numFmtId="165" formatCode="[$]dd/mm/yyyy;@"/>
    <numFmt numFmtId="166" formatCode="[$]dd/mm/yy;@"/>
    <numFmt numFmtId="167" formatCode="[$]dddd\,\ mmmm\ d\,\ yyyy;@"/>
    <numFmt numFmtId="168" formatCode="###000"/>
    <numFmt numFmtId="169" formatCode="[$-F800]dddd\,\ mmmm\ dd\,\ yyyy"/>
    <numFmt numFmtId="170" formatCode="[$-80C]dddd\ d\ mmmm\ yyyy;@"/>
  </numFmts>
  <fonts count="23" x14ac:knownFonts="1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9"/>
      <name val="Calibri"/>
      <family val="2"/>
    </font>
    <font>
      <b/>
      <sz val="12"/>
      <name val="Arial"/>
      <family val="2"/>
    </font>
    <font>
      <u/>
      <sz val="10"/>
      <color theme="10"/>
      <name val="Arial"/>
      <family val="2"/>
    </font>
    <font>
      <sz val="12"/>
      <name val="Arial"/>
      <family val="2"/>
    </font>
    <font>
      <u/>
      <sz val="10"/>
      <color theme="10"/>
      <name val="Arial"/>
      <family val="2"/>
    </font>
    <font>
      <i/>
      <sz val="8"/>
      <color theme="4"/>
      <name val="Arial"/>
      <family val="2"/>
    </font>
    <font>
      <b/>
      <sz val="18"/>
      <name val="Arial"/>
      <family val="2"/>
    </font>
    <font>
      <b/>
      <sz val="18"/>
      <color theme="8"/>
      <name val="Arial"/>
      <family val="2"/>
    </font>
    <font>
      <sz val="10"/>
      <color theme="0"/>
      <name val="Arial"/>
      <family val="2"/>
    </font>
    <font>
      <sz val="10"/>
      <color rgb="FF000000"/>
      <name val="Arial"/>
      <family val="2"/>
    </font>
    <font>
      <sz val="9"/>
      <name val="Arial"/>
      <family val="2"/>
    </font>
    <font>
      <b/>
      <sz val="14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7030A0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indexed="64"/>
      </top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theme="0" tint="-0.34998626667073579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 tint="-0.34998626667073579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theme="0" tint="-0.14996795556505021"/>
      </right>
      <top style="medium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medium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theme="0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24994659260841701"/>
      </bottom>
      <diagonal/>
    </border>
    <border>
      <left style="thin">
        <color indexed="64"/>
      </left>
      <right/>
      <top/>
      <bottom style="thin">
        <color theme="0" tint="-0.24994659260841701"/>
      </bottom>
      <diagonal/>
    </border>
    <border>
      <left style="medium">
        <color indexed="64"/>
      </left>
      <right style="thin">
        <color indexed="64"/>
      </right>
      <top/>
      <bottom style="thin">
        <color theme="0" tint="-0.24994659260841701"/>
      </bottom>
      <diagonal/>
    </border>
    <border>
      <left style="thin">
        <color indexed="64"/>
      </left>
      <right style="medium">
        <color indexed="64"/>
      </right>
      <top/>
      <bottom style="thin">
        <color theme="0" tint="-0.24994659260841701"/>
      </bottom>
      <diagonal/>
    </border>
    <border>
      <left style="medium">
        <color indexed="64"/>
      </left>
      <right style="thin">
        <color theme="0" tint="-0.14996795556505021"/>
      </right>
      <top/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24994659260841701"/>
      </bottom>
      <diagonal/>
    </border>
    <border>
      <left style="thin">
        <color theme="0" tint="-0.14996795556505021"/>
      </left>
      <right style="medium">
        <color indexed="64"/>
      </right>
      <top/>
      <bottom style="thin">
        <color theme="0" tint="-0.2499465926084170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0" tint="-0.14996795556505021"/>
      </left>
      <right/>
      <top style="medium">
        <color indexed="64"/>
      </top>
      <bottom style="thin">
        <color indexed="64"/>
      </bottom>
      <diagonal/>
    </border>
    <border>
      <left style="thin">
        <color theme="0" tint="-0.14996795556505021"/>
      </left>
      <right/>
      <top/>
      <bottom style="thin">
        <color theme="0" tint="-0.24994659260841701"/>
      </bottom>
      <diagonal/>
    </border>
  </borders>
  <cellStyleXfs count="4">
    <xf numFmtId="0" fontId="0" fillId="0" borderId="0"/>
    <xf numFmtId="0" fontId="13" fillId="0" borderId="0" applyNumberFormat="0" applyFill="0" applyBorder="0" applyAlignment="0" applyProtection="0"/>
    <xf numFmtId="0" fontId="4" fillId="0" borderId="0"/>
    <xf numFmtId="0" fontId="15" fillId="0" borderId="0" applyNumberFormat="0" applyFill="0" applyBorder="0" applyAlignment="0" applyProtection="0"/>
  </cellStyleXfs>
  <cellXfs count="224">
    <xf numFmtId="0" fontId="0" fillId="0" borderId="0" xfId="0"/>
    <xf numFmtId="0" fontId="4" fillId="0" borderId="0" xfId="0" applyFont="1"/>
    <xf numFmtId="0" fontId="2" fillId="0" borderId="0" xfId="0" applyFont="1"/>
    <xf numFmtId="0" fontId="4" fillId="0" borderId="0" xfId="0" applyFont="1" applyAlignment="1">
      <alignment vertical="top"/>
    </xf>
    <xf numFmtId="0" fontId="3" fillId="0" borderId="0" xfId="0" applyFont="1" applyAlignment="1">
      <alignment horizontal="center"/>
    </xf>
    <xf numFmtId="0" fontId="4" fillId="2" borderId="0" xfId="0" applyFont="1" applyFill="1"/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1" xfId="0" quotePrefix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wrapText="1"/>
    </xf>
    <xf numFmtId="14" fontId="7" fillId="0" borderId="0" xfId="0" applyNumberFormat="1" applyFont="1" applyAlignment="1">
      <alignment horizontal="center"/>
    </xf>
    <xf numFmtId="14" fontId="9" fillId="0" borderId="0" xfId="0" applyNumberFormat="1" applyFont="1" applyAlignment="1">
      <alignment horizontal="right"/>
    </xf>
    <xf numFmtId="164" fontId="2" fillId="0" borderId="0" xfId="0" applyNumberFormat="1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textRotation="90"/>
    </xf>
    <xf numFmtId="0" fontId="2" fillId="0" borderId="0" xfId="0" applyFont="1" applyAlignment="1">
      <alignment horizontal="center" wrapText="1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left" vertical="center"/>
    </xf>
    <xf numFmtId="0" fontId="4" fillId="0" borderId="19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1" fillId="0" borderId="0" xfId="0" applyFont="1" applyAlignment="1">
      <alignment horizontal="center" vertical="center"/>
    </xf>
    <xf numFmtId="0" fontId="4" fillId="0" borderId="4" xfId="0" applyFont="1" applyBorder="1"/>
    <xf numFmtId="0" fontId="2" fillId="0" borderId="24" xfId="0" applyFont="1" applyBorder="1" applyAlignment="1">
      <alignment horizontal="center"/>
    </xf>
    <xf numFmtId="0" fontId="2" fillId="3" borderId="25" xfId="0" applyFont="1" applyFill="1" applyBorder="1" applyAlignment="1">
      <alignment horizontal="center" wrapText="1"/>
    </xf>
    <xf numFmtId="0" fontId="2" fillId="3" borderId="18" xfId="0" applyFont="1" applyFill="1" applyBorder="1" applyAlignment="1">
      <alignment horizontal="center" wrapText="1"/>
    </xf>
    <xf numFmtId="0" fontId="2" fillId="3" borderId="23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3" borderId="27" xfId="0" applyFont="1" applyFill="1" applyBorder="1" applyAlignment="1">
      <alignment horizontal="center" wrapText="1"/>
    </xf>
    <xf numFmtId="0" fontId="2" fillId="3" borderId="12" xfId="0" applyFont="1" applyFill="1" applyBorder="1" applyAlignment="1">
      <alignment horizontal="center" wrapText="1"/>
    </xf>
    <xf numFmtId="0" fontId="2" fillId="0" borderId="28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3" fillId="4" borderId="35" xfId="0" applyFont="1" applyFill="1" applyBorder="1" applyAlignment="1">
      <alignment horizontal="center" vertical="center" textRotation="90" wrapText="1"/>
    </xf>
    <xf numFmtId="0" fontId="3" fillId="3" borderId="34" xfId="0" applyFont="1" applyFill="1" applyBorder="1" applyAlignment="1">
      <alignment horizontal="center" vertical="center" textRotation="90" wrapText="1"/>
    </xf>
    <xf numFmtId="0" fontId="3" fillId="3" borderId="4" xfId="0" applyFont="1" applyFill="1" applyBorder="1" applyAlignment="1">
      <alignment horizontal="center" vertical="center" textRotation="90" wrapText="1"/>
    </xf>
    <xf numFmtId="0" fontId="3" fillId="3" borderId="35" xfId="0" applyFont="1" applyFill="1" applyBorder="1" applyAlignment="1">
      <alignment horizontal="center" vertical="center" textRotation="90" wrapText="1"/>
    </xf>
    <xf numFmtId="0" fontId="3" fillId="3" borderId="36" xfId="0" applyFont="1" applyFill="1" applyBorder="1" applyAlignment="1">
      <alignment horizontal="center" vertical="center" textRotation="90" wrapText="1"/>
    </xf>
    <xf numFmtId="0" fontId="2" fillId="0" borderId="38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2" fillId="0" borderId="39" xfId="0" quotePrefix="1" applyFont="1" applyBorder="1" applyAlignment="1">
      <alignment horizontal="center"/>
    </xf>
    <xf numFmtId="0" fontId="1" fillId="0" borderId="39" xfId="0" applyFont="1" applyBorder="1" applyAlignment="1">
      <alignment horizontal="center" wrapText="1"/>
    </xf>
    <xf numFmtId="0" fontId="2" fillId="0" borderId="40" xfId="0" applyFont="1" applyBorder="1" applyAlignment="1">
      <alignment horizontal="center"/>
    </xf>
    <xf numFmtId="0" fontId="2" fillId="3" borderId="42" xfId="0" applyFont="1" applyFill="1" applyBorder="1" applyAlignment="1">
      <alignment horizontal="center" wrapText="1"/>
    </xf>
    <xf numFmtId="0" fontId="2" fillId="3" borderId="39" xfId="0" applyFont="1" applyFill="1" applyBorder="1" applyAlignment="1">
      <alignment horizontal="center" wrapText="1"/>
    </xf>
    <xf numFmtId="0" fontId="2" fillId="3" borderId="43" xfId="0" applyFont="1" applyFill="1" applyBorder="1" applyAlignment="1">
      <alignment horizontal="center" wrapText="1"/>
    </xf>
    <xf numFmtId="0" fontId="3" fillId="4" borderId="37" xfId="0" applyFont="1" applyFill="1" applyBorder="1" applyAlignment="1">
      <alignment horizontal="center" vertical="center" textRotation="90" wrapText="1"/>
    </xf>
    <xf numFmtId="0" fontId="2" fillId="0" borderId="0" xfId="0" applyFont="1" applyAlignment="1">
      <alignment vertical="center"/>
    </xf>
    <xf numFmtId="0" fontId="3" fillId="0" borderId="13" xfId="0" applyFont="1" applyBorder="1" applyAlignment="1">
      <alignment horizontal="center" vertical="center" textRotation="90"/>
    </xf>
    <xf numFmtId="0" fontId="3" fillId="0" borderId="0" xfId="0" applyFont="1" applyAlignment="1">
      <alignment horizontal="center" vertical="center" textRotation="90"/>
    </xf>
    <xf numFmtId="0" fontId="3" fillId="0" borderId="4" xfId="0" applyFont="1" applyBorder="1" applyAlignment="1">
      <alignment horizontal="center" vertical="center" textRotation="90"/>
    </xf>
    <xf numFmtId="0" fontId="3" fillId="4" borderId="41" xfId="0" applyFont="1" applyFill="1" applyBorder="1" applyAlignment="1">
      <alignment horizontal="center" vertical="center" textRotation="90" wrapText="1"/>
    </xf>
    <xf numFmtId="0" fontId="3" fillId="4" borderId="45" xfId="0" applyFont="1" applyFill="1" applyBorder="1" applyAlignment="1">
      <alignment horizontal="center" vertical="center" textRotation="90" wrapText="1"/>
    </xf>
    <xf numFmtId="0" fontId="3" fillId="4" borderId="11" xfId="0" applyFont="1" applyFill="1" applyBorder="1" applyAlignment="1">
      <alignment horizontal="center" vertical="center" textRotation="90" wrapText="1"/>
    </xf>
    <xf numFmtId="0" fontId="2" fillId="0" borderId="46" xfId="0" applyFont="1" applyBorder="1" applyAlignment="1">
      <alignment vertical="center"/>
    </xf>
    <xf numFmtId="0" fontId="4" fillId="0" borderId="13" xfId="0" applyFont="1" applyBorder="1"/>
    <xf numFmtId="164" fontId="2" fillId="0" borderId="47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8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/>
    </xf>
    <xf numFmtId="0" fontId="2" fillId="0" borderId="48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166" fontId="2" fillId="0" borderId="49" xfId="0" applyNumberFormat="1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16" fillId="4" borderId="51" xfId="0" applyFont="1" applyFill="1" applyBorder="1" applyAlignment="1">
      <alignment horizontal="center" vertical="center"/>
    </xf>
    <xf numFmtId="0" fontId="16" fillId="5" borderId="51" xfId="0" applyFont="1" applyFill="1" applyBorder="1" applyAlignment="1">
      <alignment horizontal="center" vertical="center"/>
    </xf>
    <xf numFmtId="0" fontId="16" fillId="6" borderId="51" xfId="0" applyFont="1" applyFill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4" xfId="0" quotePrefix="1" applyFont="1" applyBorder="1" applyAlignment="1">
      <alignment horizontal="center" vertical="center"/>
    </xf>
    <xf numFmtId="0" fontId="2" fillId="0" borderId="54" xfId="0" applyFont="1" applyBorder="1" applyAlignment="1">
      <alignment horizontal="left" vertical="center"/>
    </xf>
    <xf numFmtId="0" fontId="13" fillId="0" borderId="54" xfId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165" fontId="2" fillId="0" borderId="56" xfId="0" applyNumberFormat="1" applyFont="1" applyBorder="1" applyAlignment="1">
      <alignment horizontal="center" vertical="center"/>
    </xf>
    <xf numFmtId="164" fontId="2" fillId="0" borderId="54" xfId="0" applyNumberFormat="1" applyFont="1" applyBorder="1" applyAlignment="1">
      <alignment horizontal="center" vertical="center"/>
    </xf>
    <xf numFmtId="166" fontId="2" fillId="0" borderId="54" xfId="0" applyNumberFormat="1" applyFont="1" applyBorder="1" applyAlignment="1">
      <alignment horizontal="center" vertical="center"/>
    </xf>
    <xf numFmtId="164" fontId="2" fillId="0" borderId="54" xfId="0" applyNumberFormat="1" applyFont="1" applyBorder="1" applyAlignment="1">
      <alignment horizontal="left" vertical="center"/>
    </xf>
    <xf numFmtId="166" fontId="2" fillId="0" borderId="57" xfId="0" applyNumberFormat="1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166" fontId="2" fillId="0" borderId="59" xfId="0" applyNumberFormat="1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0" fontId="8" fillId="0" borderId="22" xfId="0" applyFont="1" applyBorder="1" applyAlignment="1">
      <alignment vertical="center"/>
    </xf>
    <xf numFmtId="0" fontId="6" fillId="2" borderId="47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4" fontId="9" fillId="2" borderId="0" xfId="0" applyNumberFormat="1" applyFont="1" applyFill="1" applyAlignment="1">
      <alignment horizontal="right"/>
    </xf>
    <xf numFmtId="0" fontId="1" fillId="2" borderId="0" xfId="0" applyFont="1" applyFill="1" applyAlignment="1">
      <alignment horizontal="center" vertical="center"/>
    </xf>
    <xf numFmtId="14" fontId="2" fillId="2" borderId="0" xfId="0" applyNumberFormat="1" applyFont="1" applyFill="1" applyAlignment="1">
      <alignment horizontal="left" vertical="center"/>
    </xf>
    <xf numFmtId="14" fontId="2" fillId="2" borderId="0" xfId="0" applyNumberFormat="1" applyFont="1" applyFill="1" applyAlignment="1">
      <alignment horizontal="center" vertical="center"/>
    </xf>
    <xf numFmtId="14" fontId="2" fillId="2" borderId="46" xfId="0" applyNumberFormat="1" applyFont="1" applyFill="1" applyBorder="1" applyAlignment="1">
      <alignment horizontal="center" vertical="center"/>
    </xf>
    <xf numFmtId="167" fontId="14" fillId="2" borderId="0" xfId="0" applyNumberFormat="1" applyFont="1" applyFill="1" applyAlignment="1">
      <alignment horizontal="left" vertical="center"/>
    </xf>
    <xf numFmtId="14" fontId="9" fillId="2" borderId="0" xfId="0" applyNumberFormat="1" applyFont="1" applyFill="1" applyAlignment="1">
      <alignment horizontal="left"/>
    </xf>
    <xf numFmtId="0" fontId="1" fillId="2" borderId="46" xfId="0" applyFont="1" applyFill="1" applyBorder="1" applyAlignment="1">
      <alignment horizontal="center" vertical="center"/>
    </xf>
    <xf numFmtId="0" fontId="12" fillId="2" borderId="47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6" fillId="2" borderId="6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4" fontId="7" fillId="2" borderId="4" xfId="0" applyNumberFormat="1" applyFont="1" applyFill="1" applyBorder="1" applyAlignment="1">
      <alignment horizontal="center"/>
    </xf>
    <xf numFmtId="14" fontId="7" fillId="2" borderId="4" xfId="0" applyNumberFormat="1" applyFont="1" applyFill="1" applyBorder="1" applyAlignment="1">
      <alignment horizontal="center" vertical="center"/>
    </xf>
    <xf numFmtId="14" fontId="7" fillId="2" borderId="64" xfId="0" applyNumberFormat="1" applyFont="1" applyFill="1" applyBorder="1" applyAlignment="1">
      <alignment horizontal="center" vertical="center"/>
    </xf>
    <xf numFmtId="0" fontId="8" fillId="2" borderId="61" xfId="0" applyFont="1" applyFill="1" applyBorder="1" applyAlignment="1">
      <alignment vertical="center"/>
    </xf>
    <xf numFmtId="0" fontId="8" fillId="2" borderId="13" xfId="0" applyFont="1" applyFill="1" applyBorder="1" applyAlignment="1">
      <alignment vertical="center"/>
    </xf>
    <xf numFmtId="0" fontId="8" fillId="2" borderId="62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1" fillId="0" borderId="54" xfId="0" applyFont="1" applyBorder="1" applyAlignment="1">
      <alignment horizontal="center" vertical="center"/>
    </xf>
    <xf numFmtId="168" fontId="2" fillId="0" borderId="54" xfId="0" applyNumberFormat="1" applyFont="1" applyBorder="1" applyAlignment="1">
      <alignment horizontal="center" vertical="center"/>
    </xf>
    <xf numFmtId="0" fontId="4" fillId="0" borderId="0" xfId="2"/>
    <xf numFmtId="0" fontId="4" fillId="5" borderId="0" xfId="2" applyFill="1"/>
    <xf numFmtId="0" fontId="4" fillId="5" borderId="0" xfId="0" applyFont="1" applyFill="1"/>
    <xf numFmtId="0" fontId="4" fillId="5" borderId="0" xfId="0" applyFont="1" applyFill="1" applyAlignment="1">
      <alignment horizontal="left"/>
    </xf>
    <xf numFmtId="0" fontId="4" fillId="5" borderId="0" xfId="0" applyFont="1" applyFill="1" applyAlignment="1">
      <alignment horizontal="left" vertical="center"/>
    </xf>
    <xf numFmtId="0" fontId="8" fillId="0" borderId="0" xfId="2" applyFont="1"/>
    <xf numFmtId="0" fontId="4" fillId="7" borderId="0" xfId="2" applyFill="1"/>
    <xf numFmtId="0" fontId="4" fillId="8" borderId="0" xfId="2" applyFill="1"/>
    <xf numFmtId="0" fontId="4" fillId="9" borderId="0" xfId="2" applyFill="1"/>
    <xf numFmtId="0" fontId="4" fillId="6" borderId="0" xfId="2" applyFill="1"/>
    <xf numFmtId="0" fontId="4" fillId="10" borderId="0" xfId="2" applyFill="1"/>
    <xf numFmtId="0" fontId="19" fillId="11" borderId="0" xfId="0" applyFont="1" applyFill="1"/>
    <xf numFmtId="167" fontId="14" fillId="2" borderId="0" xfId="0" applyNumberFormat="1" applyFont="1" applyFill="1" applyAlignment="1">
      <alignment horizontal="right" vertical="center"/>
    </xf>
    <xf numFmtId="169" fontId="9" fillId="0" borderId="0" xfId="0" applyNumberFormat="1" applyFont="1" applyAlignment="1">
      <alignment horizontal="left" vertical="top"/>
    </xf>
    <xf numFmtId="14" fontId="7" fillId="2" borderId="0" xfId="0" applyNumberFormat="1" applyFont="1" applyFill="1" applyAlignment="1">
      <alignment horizontal="left"/>
    </xf>
    <xf numFmtId="166" fontId="2" fillId="0" borderId="65" xfId="0" applyNumberFormat="1" applyFont="1" applyBorder="1" applyAlignment="1">
      <alignment horizontal="center" vertical="center" wrapText="1"/>
    </xf>
    <xf numFmtId="166" fontId="2" fillId="0" borderId="66" xfId="0" applyNumberFormat="1" applyFont="1" applyBorder="1" applyAlignment="1">
      <alignment horizontal="center" vertical="center" wrapText="1"/>
    </xf>
    <xf numFmtId="1" fontId="2" fillId="0" borderId="59" xfId="0" applyNumberFormat="1" applyFont="1" applyBorder="1" applyAlignment="1">
      <alignment horizontal="center" vertical="center" wrapText="1"/>
    </xf>
    <xf numFmtId="0" fontId="16" fillId="8" borderId="51" xfId="0" applyFont="1" applyFill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1" fillId="0" borderId="54" xfId="0" applyFont="1" applyBorder="1" applyAlignment="1">
      <alignment horizontal="left" vertical="center" wrapText="1"/>
    </xf>
    <xf numFmtId="170" fontId="9" fillId="0" borderId="0" xfId="0" applyNumberFormat="1" applyFont="1" applyAlignment="1">
      <alignment horizontal="left" vertical="top"/>
    </xf>
    <xf numFmtId="0" fontId="4" fillId="0" borderId="20" xfId="0" applyFont="1" applyBorder="1" applyAlignment="1">
      <alignment vertical="top" wrapText="1"/>
    </xf>
    <xf numFmtId="0" fontId="4" fillId="0" borderId="3" xfId="0" applyFont="1" applyBorder="1"/>
    <xf numFmtId="0" fontId="21" fillId="5" borderId="34" xfId="0" applyFont="1" applyFill="1" applyBorder="1" applyAlignment="1">
      <alignment horizontal="center" vertical="center" textRotation="90" wrapText="1"/>
    </xf>
    <xf numFmtId="0" fontId="21" fillId="5" borderId="4" xfId="0" applyFont="1" applyFill="1" applyBorder="1" applyAlignment="1">
      <alignment horizontal="center" vertical="center" textRotation="90" wrapText="1"/>
    </xf>
    <xf numFmtId="0" fontId="21" fillId="5" borderId="35" xfId="0" applyFont="1" applyFill="1" applyBorder="1" applyAlignment="1">
      <alignment horizontal="center" vertical="center" textRotation="90" wrapText="1"/>
    </xf>
    <xf numFmtId="0" fontId="21" fillId="5" borderId="44" xfId="0" applyFont="1" applyFill="1" applyBorder="1" applyAlignment="1">
      <alignment horizontal="center" vertical="center" textRotation="90" wrapText="1"/>
    </xf>
    <xf numFmtId="0" fontId="21" fillId="5" borderId="36" xfId="0" applyFont="1" applyFill="1" applyBorder="1" applyAlignment="1">
      <alignment horizontal="center" vertical="center" textRotation="90" wrapText="1"/>
    </xf>
    <xf numFmtId="0" fontId="21" fillId="5" borderId="45" xfId="0" applyFont="1" applyFill="1" applyBorder="1" applyAlignment="1">
      <alignment horizontal="center" vertical="center" textRotation="90" wrapText="1"/>
    </xf>
    <xf numFmtId="0" fontId="21" fillId="5" borderId="41" xfId="0" applyFont="1" applyFill="1" applyBorder="1" applyAlignment="1">
      <alignment horizontal="center" vertical="center" textRotation="90" wrapText="1"/>
    </xf>
    <xf numFmtId="0" fontId="21" fillId="5" borderId="37" xfId="0" applyFont="1" applyFill="1" applyBorder="1" applyAlignment="1">
      <alignment horizontal="center" vertical="center" textRotation="90" wrapText="1"/>
    </xf>
    <xf numFmtId="0" fontId="21" fillId="6" borderId="45" xfId="0" applyFont="1" applyFill="1" applyBorder="1" applyAlignment="1">
      <alignment horizontal="center" vertical="center" textRotation="90" wrapText="1"/>
    </xf>
    <xf numFmtId="0" fontId="21" fillId="6" borderId="41" xfId="0" applyFont="1" applyFill="1" applyBorder="1" applyAlignment="1">
      <alignment horizontal="center" vertical="center" textRotation="90" wrapText="1"/>
    </xf>
    <xf numFmtId="0" fontId="21" fillId="6" borderId="35" xfId="0" applyFont="1" applyFill="1" applyBorder="1" applyAlignment="1">
      <alignment horizontal="center" vertical="center" textRotation="90" wrapText="1"/>
    </xf>
    <xf numFmtId="0" fontId="21" fillId="6" borderId="37" xfId="0" applyFont="1" applyFill="1" applyBorder="1" applyAlignment="1">
      <alignment horizontal="center" vertical="center" textRotation="90" wrapText="1"/>
    </xf>
    <xf numFmtId="0" fontId="21" fillId="8" borderId="45" xfId="0" applyFont="1" applyFill="1" applyBorder="1" applyAlignment="1">
      <alignment horizontal="center" vertical="center" textRotation="90" wrapText="1"/>
    </xf>
    <xf numFmtId="0" fontId="21" fillId="8" borderId="41" xfId="0" applyFont="1" applyFill="1" applyBorder="1" applyAlignment="1">
      <alignment horizontal="center" vertical="center" textRotation="90" wrapText="1"/>
    </xf>
    <xf numFmtId="0" fontId="21" fillId="8" borderId="35" xfId="0" applyFont="1" applyFill="1" applyBorder="1" applyAlignment="1">
      <alignment horizontal="center" vertical="center" textRotation="90" wrapText="1"/>
    </xf>
    <xf numFmtId="0" fontId="21" fillId="8" borderId="37" xfId="0" applyFont="1" applyFill="1" applyBorder="1" applyAlignment="1">
      <alignment horizontal="center" vertical="center" textRotation="90" wrapText="1"/>
    </xf>
    <xf numFmtId="0" fontId="3" fillId="0" borderId="26" xfId="0" applyFont="1" applyBorder="1" applyAlignment="1">
      <alignment horizontal="center" vertical="center" textRotation="90"/>
    </xf>
    <xf numFmtId="0" fontId="3" fillId="0" borderId="20" xfId="0" applyFont="1" applyBorder="1" applyAlignment="1">
      <alignment horizontal="center" vertical="center" textRotation="90"/>
    </xf>
    <xf numFmtId="0" fontId="3" fillId="0" borderId="33" xfId="0" applyFont="1" applyBorder="1" applyAlignment="1">
      <alignment horizontal="center" vertical="center" textRotation="90"/>
    </xf>
    <xf numFmtId="0" fontId="8" fillId="8" borderId="9" xfId="0" applyFont="1" applyFill="1" applyBorder="1" applyAlignment="1">
      <alignment horizontal="center" vertical="center"/>
    </xf>
    <xf numFmtId="0" fontId="8" fillId="8" borderId="10" xfId="0" applyFont="1" applyFill="1" applyBorder="1" applyAlignment="1">
      <alignment horizontal="center" vertical="center"/>
    </xf>
    <xf numFmtId="0" fontId="8" fillId="8" borderId="52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/>
    </xf>
    <xf numFmtId="0" fontId="8" fillId="5" borderId="14" xfId="0" applyFont="1" applyFill="1" applyBorder="1" applyAlignment="1">
      <alignment horizontal="center"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52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6" borderId="52" xfId="0" applyFont="1" applyFill="1" applyBorder="1" applyAlignment="1">
      <alignment horizontal="center" vertical="center"/>
    </xf>
    <xf numFmtId="0" fontId="12" fillId="2" borderId="47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textRotation="90" wrapText="1"/>
    </xf>
    <xf numFmtId="0" fontId="3" fillId="0" borderId="20" xfId="0" applyFont="1" applyBorder="1" applyAlignment="1">
      <alignment horizontal="center" vertical="center" textRotation="90" wrapText="1"/>
    </xf>
    <xf numFmtId="0" fontId="3" fillId="0" borderId="33" xfId="0" applyFont="1" applyBorder="1" applyAlignment="1">
      <alignment horizontal="center" vertical="center" textRotation="90" wrapText="1"/>
    </xf>
    <xf numFmtId="0" fontId="3" fillId="0" borderId="2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textRotation="90"/>
    </xf>
    <xf numFmtId="0" fontId="3" fillId="0" borderId="30" xfId="0" applyFont="1" applyBorder="1" applyAlignment="1">
      <alignment horizontal="center" vertical="center" textRotation="90"/>
    </xf>
    <xf numFmtId="0" fontId="3" fillId="0" borderId="32" xfId="0" applyFont="1" applyBorder="1" applyAlignment="1">
      <alignment horizontal="center" vertical="center" textRotation="90"/>
    </xf>
    <xf numFmtId="0" fontId="8" fillId="6" borderId="5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6" xfId="0" applyFont="1" applyFill="1" applyBorder="1" applyAlignment="1">
      <alignment horizontal="center" vertical="center"/>
    </xf>
    <xf numFmtId="0" fontId="8" fillId="8" borderId="5" xfId="0" applyFont="1" applyFill="1" applyBorder="1" applyAlignment="1">
      <alignment horizontal="center" vertical="center"/>
    </xf>
    <xf numFmtId="0" fontId="8" fillId="8" borderId="7" xfId="0" applyFont="1" applyFill="1" applyBorder="1" applyAlignment="1">
      <alignment horizontal="center" vertical="center"/>
    </xf>
    <xf numFmtId="0" fontId="8" fillId="8" borderId="6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67" fontId="14" fillId="2" borderId="0" xfId="0" applyNumberFormat="1" applyFont="1" applyFill="1" applyAlignment="1">
      <alignment horizontal="left" vertical="center"/>
    </xf>
    <xf numFmtId="0" fontId="17" fillId="2" borderId="13" xfId="0" applyFont="1" applyFill="1" applyBorder="1" applyAlignment="1">
      <alignment horizontal="left" vertical="center"/>
    </xf>
    <xf numFmtId="0" fontId="17" fillId="2" borderId="14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left" vertical="center"/>
    </xf>
    <xf numFmtId="0" fontId="18" fillId="2" borderId="15" xfId="0" applyFont="1" applyFill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52" xfId="0" applyFont="1" applyFill="1" applyBorder="1" applyAlignment="1">
      <alignment horizontal="center" vertical="center"/>
    </xf>
    <xf numFmtId="0" fontId="22" fillId="2" borderId="13" xfId="0" applyFont="1" applyFill="1" applyBorder="1" applyAlignment="1">
      <alignment horizontal="left" vertical="center"/>
    </xf>
    <xf numFmtId="0" fontId="22" fillId="2" borderId="2" xfId="0" applyFont="1" applyFill="1" applyBorder="1" applyAlignment="1">
      <alignment horizontal="left" vertical="center"/>
    </xf>
  </cellXfs>
  <cellStyles count="4">
    <cellStyle name="Lien hypertexte" xfId="1" builtinId="8"/>
    <cellStyle name="Lien hypertexte 2" xfId="3" xr:uid="{47DEB5E7-BB1E-4CC6-9E92-3E73BEEE56CA}"/>
    <cellStyle name="Normal" xfId="0" builtinId="0"/>
    <cellStyle name="Normal 2" xfId="2" xr:uid="{E1DC97BE-0F2E-473B-8138-4F649C3D3907}"/>
  </cellStyles>
  <dxfs count="45">
    <dxf>
      <fill>
        <patternFill>
          <bgColor rgb="FFFFC000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>
          <bgColor theme="5" tint="0.39994506668294322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00B050"/>
      </font>
      <fill>
        <patternFill patternType="none">
          <bgColor auto="1"/>
        </patternFill>
      </fill>
    </dxf>
    <dxf>
      <fill>
        <patternFill>
          <bgColor rgb="FFFFC000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>
          <bgColor theme="5" tint="0.39994506668294322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00B050"/>
      </font>
      <fill>
        <patternFill patternType="none">
          <bgColor auto="1"/>
        </patternFill>
      </fill>
    </dxf>
    <dxf>
      <fill>
        <patternFill>
          <bgColor rgb="FFFFC000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>
          <bgColor theme="5" tint="0.39994506668294322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00B050"/>
      </font>
      <fill>
        <patternFill patternType="none">
          <bgColor auto="1"/>
        </patternFill>
      </fill>
    </dxf>
    <dxf>
      <fill>
        <patternFill>
          <bgColor theme="0" tint="-0.14996795556505021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ont>
        <color theme="0"/>
      </font>
      <fill>
        <patternFill>
          <bgColor rgb="FF7030A0"/>
        </patternFill>
      </fill>
    </dxf>
    <dxf>
      <fill>
        <patternFill>
          <bgColor theme="0" tint="-0.24994659260841701"/>
        </patternFill>
      </fill>
    </dxf>
    <dxf>
      <fill>
        <patternFill>
          <bgColor theme="5" tint="0.39994506668294322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rgb="FFFFFF00"/>
        </patternFill>
      </fill>
    </dxf>
    <dxf>
      <font>
        <color theme="5"/>
      </font>
      <fill>
        <patternFill patternType="none">
          <bgColor auto="1"/>
        </patternFill>
      </fill>
    </dxf>
    <dxf>
      <font>
        <color theme="9"/>
      </font>
      <fill>
        <patternFill patternType="none">
          <bgColor auto="1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2"/>
        </patternFill>
      </fill>
    </dxf>
    <dxf>
      <fill>
        <patternFill>
          <bgColor theme="5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0.39994506668294322"/>
        </patternFill>
      </fill>
    </dxf>
    <dxf>
      <font>
        <color theme="0"/>
      </font>
      <fill>
        <patternFill>
          <bgColor rgb="FF7030A0"/>
        </patternFill>
      </fill>
    </dxf>
  </dxfs>
  <tableStyles count="0" defaultTableStyle="TableStyleMedium9" defaultPivotStyle="PivotStyleLight16"/>
  <colors>
    <mruColors>
      <color rgb="FFFFFF9B"/>
      <color rgb="FFFFFF8B"/>
      <color rgb="FF00CC00"/>
      <color rgb="FF33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jp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227825</xdr:rowOff>
    </xdr:from>
    <xdr:to>
      <xdr:col>2</xdr:col>
      <xdr:colOff>390525</xdr:colOff>
      <xdr:row>2</xdr:row>
      <xdr:rowOff>357666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B942965-9B21-D03A-F0E5-931C5E37D0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5" y="399275"/>
          <a:ext cx="733425" cy="72991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44178</xdr:rowOff>
    </xdr:from>
    <xdr:to>
      <xdr:col>18</xdr:col>
      <xdr:colOff>283541</xdr:colOff>
      <xdr:row>1</xdr:row>
      <xdr:rowOff>1298575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59050" y="217533"/>
          <a:ext cx="3887529" cy="125249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64045</xdr:rowOff>
    </xdr:from>
    <xdr:to>
      <xdr:col>7</xdr:col>
      <xdr:colOff>339987</xdr:colOff>
      <xdr:row>1</xdr:row>
      <xdr:rowOff>1330774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08" t="19066" r="2994" b="17061"/>
        <a:stretch/>
      </xdr:blipFill>
      <xdr:spPr>
        <a:xfrm>
          <a:off x="171450" y="231685"/>
          <a:ext cx="3540387" cy="1270539"/>
        </a:xfrm>
        <a:prstGeom prst="rect">
          <a:avLst/>
        </a:prstGeom>
      </xdr:spPr>
    </xdr:pic>
    <xdr:clientData/>
  </xdr:twoCellAnchor>
  <xdr:twoCellAnchor editAs="oneCell">
    <xdr:from>
      <xdr:col>18</xdr:col>
      <xdr:colOff>832735</xdr:colOff>
      <xdr:row>1</xdr:row>
      <xdr:rowOff>185860</xdr:rowOff>
    </xdr:from>
    <xdr:to>
      <xdr:col>18</xdr:col>
      <xdr:colOff>2854673</xdr:colOff>
      <xdr:row>1</xdr:row>
      <xdr:rowOff>1256400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01855" y="355405"/>
          <a:ext cx="2023843" cy="107244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742950</xdr:colOff>
          <xdr:row>8</xdr:row>
          <xdr:rowOff>161925</xdr:rowOff>
        </xdr:from>
        <xdr:to>
          <xdr:col>15</xdr:col>
          <xdr:colOff>57150</xdr:colOff>
          <xdr:row>8</xdr:row>
          <xdr:rowOff>523875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3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fr-BE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Generate data tile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Cooperlink Official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074465"/>
      </a:accent1>
      <a:accent2>
        <a:srgbClr val="D85D4D"/>
      </a:accent2>
      <a:accent3>
        <a:srgbClr val="A6A6A6"/>
      </a:accent3>
      <a:accent4>
        <a:srgbClr val="FFBA02"/>
      </a:accent4>
      <a:accent5>
        <a:srgbClr val="0E6DA9"/>
      </a:accent5>
      <a:accent6>
        <a:srgbClr val="4B9FA5"/>
      </a:accent6>
      <a:hlink>
        <a:srgbClr val="0E6DA9"/>
      </a:hlink>
      <a:folHlink>
        <a:srgbClr val="A6A6A6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G20"/>
  <sheetViews>
    <sheetView showZeros="0" tabSelected="1" zoomScale="70" zoomScaleNormal="70" zoomScaleSheetLayoutView="80" workbookViewId="0">
      <pane xSplit="15" topLeftCell="P1" activePane="topRight" state="frozenSplit"/>
      <selection pane="topRight"/>
    </sheetView>
  </sheetViews>
  <sheetFormatPr baseColWidth="10" defaultColWidth="11.42578125" defaultRowHeight="12.75" x14ac:dyDescent="0.2"/>
  <cols>
    <col min="1" max="1" width="2.42578125" style="1" customWidth="1"/>
    <col min="2" max="6" width="7.7109375" style="1" customWidth="1"/>
    <col min="7" max="15" width="7.7109375" style="1" hidden="1" customWidth="1"/>
    <col min="16" max="16" width="30.42578125" style="1" customWidth="1"/>
    <col min="17" max="17" width="57.42578125" style="1" hidden="1" customWidth="1"/>
    <col min="18" max="18" width="57.42578125" style="1" customWidth="1"/>
    <col min="19" max="19" width="64.42578125" style="1" customWidth="1"/>
    <col min="20" max="20" width="64.42578125" style="1" hidden="1" customWidth="1"/>
    <col min="21" max="21" width="7.7109375" style="1" customWidth="1"/>
    <col min="22" max="22" width="7.7109375" style="1" hidden="1" customWidth="1"/>
    <col min="23" max="26" width="9.7109375" style="1" customWidth="1"/>
    <col min="27" max="29" width="9.7109375" style="1" hidden="1" customWidth="1"/>
    <col min="30" max="30" width="24.28515625" style="1" customWidth="1"/>
    <col min="31" max="31" width="9.7109375" style="1" customWidth="1"/>
    <col min="32" max="32" width="5.28515625" style="1" customWidth="1"/>
    <col min="33" max="39" width="9.7109375" style="1" hidden="1" customWidth="1"/>
    <col min="40" max="40" width="5.28515625" style="1" customWidth="1"/>
    <col min="41" max="41" width="9.7109375" style="1" customWidth="1"/>
    <col min="42" max="42" width="9.7109375" style="1" hidden="1" customWidth="1"/>
    <col min="43" max="43" width="9.7109375" style="1" customWidth="1"/>
    <col min="44" max="44" width="5.28515625" style="1" customWidth="1"/>
    <col min="45" max="51" width="9.7109375" style="1" hidden="1" customWidth="1"/>
    <col min="52" max="52" width="5.28515625" style="1" customWidth="1"/>
    <col min="53" max="53" width="9.7109375" style="1" customWidth="1"/>
    <col min="54" max="54" width="9.7109375" style="1" hidden="1" customWidth="1"/>
    <col min="55" max="55" width="9.7109375" style="1" customWidth="1"/>
    <col min="56" max="56" width="5.28515625" style="1" customWidth="1"/>
    <col min="57" max="63" width="9.7109375" style="1" hidden="1" customWidth="1"/>
    <col min="64" max="64" width="5.28515625" style="1" customWidth="1"/>
    <col min="65" max="65" width="9.7109375" style="1" customWidth="1"/>
    <col min="66" max="66" width="9.7109375" style="1" hidden="1" customWidth="1"/>
    <col min="67" max="67" width="9.7109375" style="1" customWidth="1"/>
    <col min="68" max="68" width="5.28515625" style="1" customWidth="1"/>
    <col min="69" max="75" width="9.7109375" style="1" hidden="1" customWidth="1"/>
    <col min="76" max="76" width="5.28515625" style="1" customWidth="1"/>
    <col min="77" max="77" width="9.7109375" style="1" customWidth="1"/>
    <col min="78" max="78" width="9.7109375" style="1" hidden="1" customWidth="1"/>
    <col min="79" max="79" width="9.7109375" style="1" customWidth="1"/>
    <col min="80" max="80" width="5.28515625" style="1" customWidth="1"/>
    <col min="81" max="87" width="9.7109375" style="1" hidden="1" customWidth="1"/>
    <col min="88" max="88" width="5.28515625" style="1" customWidth="1"/>
    <col min="89" max="89" width="9.7109375" style="1" customWidth="1"/>
    <col min="90" max="90" width="9.7109375" style="1" hidden="1" customWidth="1"/>
    <col min="91" max="91" width="9.7109375" style="1" customWidth="1"/>
    <col min="92" max="92" width="5.28515625" style="1" hidden="1" customWidth="1"/>
    <col min="93" max="99" width="9.7109375" style="1" hidden="1" customWidth="1"/>
    <col min="100" max="100" width="5.28515625" style="1" hidden="1" customWidth="1"/>
    <col min="101" max="103" width="9.7109375" style="1" hidden="1" customWidth="1"/>
    <col min="104" max="104" width="5.28515625" style="1" hidden="1" customWidth="1"/>
    <col min="105" max="111" width="9.7109375" style="1" hidden="1" customWidth="1"/>
    <col min="112" max="112" width="5.28515625" style="1" hidden="1" customWidth="1"/>
    <col min="113" max="115" width="9.7109375" style="1" hidden="1" customWidth="1"/>
    <col min="116" max="116" width="5.28515625" style="1" hidden="1" customWidth="1"/>
    <col min="117" max="123" width="9.7109375" style="1" hidden="1" customWidth="1"/>
    <col min="124" max="124" width="5.28515625" style="1" hidden="1" customWidth="1"/>
    <col min="125" max="127" width="9.7109375" style="1" hidden="1" customWidth="1"/>
    <col min="128" max="128" width="5.28515625" style="1" hidden="1" customWidth="1"/>
    <col min="129" max="135" width="9.7109375" style="1" hidden="1" customWidth="1"/>
    <col min="136" max="136" width="5.28515625" style="1" hidden="1" customWidth="1"/>
    <col min="137" max="139" width="9.7109375" style="1" hidden="1" customWidth="1"/>
    <col min="140" max="140" width="5.28515625" style="1" customWidth="1"/>
    <col min="141" max="147" width="9.7109375" style="1" hidden="1" customWidth="1"/>
    <col min="148" max="148" width="5.28515625" style="1" customWidth="1"/>
    <col min="149" max="149" width="9.7109375" style="1" customWidth="1"/>
    <col min="150" max="150" width="9.7109375" style="1" hidden="1" customWidth="1"/>
    <col min="151" max="151" width="9.7109375" style="1" customWidth="1"/>
    <col min="152" max="152" width="4" style="1" customWidth="1"/>
    <col min="153" max="153" width="4" style="1" hidden="1" customWidth="1"/>
    <col min="154" max="155" width="3.5703125" style="1" hidden="1" customWidth="1"/>
    <col min="156" max="156" width="76.28515625" style="1" customWidth="1"/>
    <col min="157" max="16384" width="11.42578125" style="1"/>
  </cols>
  <sheetData>
    <row r="1" spans="1:163" ht="13.5" thickBot="1" x14ac:dyDescent="0.25"/>
    <row r="2" spans="1:163" s="14" customFormat="1" ht="47.25" customHeight="1" x14ac:dyDescent="0.2">
      <c r="B2" s="109"/>
      <c r="C2" s="110"/>
      <c r="D2" s="222" t="s">
        <v>154</v>
      </c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110"/>
      <c r="R2" s="110"/>
      <c r="S2" s="110"/>
      <c r="T2" s="110"/>
      <c r="U2" s="110"/>
      <c r="V2" s="110"/>
      <c r="W2" s="202" t="s">
        <v>0</v>
      </c>
      <c r="X2" s="202"/>
      <c r="Y2" s="202"/>
      <c r="Z2" s="202"/>
      <c r="AA2" s="202"/>
      <c r="AB2" s="202"/>
      <c r="AC2" s="202"/>
      <c r="AD2" s="202"/>
      <c r="AE2" s="203"/>
      <c r="AF2" s="199" t="s">
        <v>1</v>
      </c>
      <c r="AG2" s="199"/>
      <c r="AH2" s="199"/>
      <c r="AI2" s="199"/>
      <c r="AJ2" s="199"/>
      <c r="AK2" s="199"/>
      <c r="AL2" s="199"/>
      <c r="AM2" s="199"/>
      <c r="AN2" s="199"/>
      <c r="AO2" s="199"/>
      <c r="AP2" s="199"/>
      <c r="AQ2" s="199"/>
      <c r="AR2" s="199"/>
      <c r="AS2" s="199"/>
      <c r="AT2" s="199"/>
      <c r="AU2" s="199"/>
      <c r="AV2" s="199"/>
      <c r="AW2" s="199"/>
      <c r="AX2" s="199"/>
      <c r="AY2" s="199"/>
      <c r="AZ2" s="199"/>
      <c r="BA2" s="199"/>
      <c r="BB2" s="199"/>
      <c r="BC2" s="199"/>
      <c r="BD2" s="199"/>
      <c r="BE2" s="199"/>
      <c r="BF2" s="199"/>
      <c r="BG2" s="199"/>
      <c r="BH2" s="199"/>
      <c r="BI2" s="199"/>
      <c r="BJ2" s="199"/>
      <c r="BK2" s="199"/>
      <c r="BL2" s="199"/>
      <c r="BM2" s="199"/>
      <c r="BN2" s="199"/>
      <c r="BO2" s="199"/>
      <c r="BP2" s="199"/>
      <c r="BQ2" s="199"/>
      <c r="BR2" s="199"/>
      <c r="BS2" s="199"/>
      <c r="BT2" s="199"/>
      <c r="BU2" s="199"/>
      <c r="BV2" s="199"/>
      <c r="BW2" s="199"/>
      <c r="BX2" s="199"/>
      <c r="BY2" s="199"/>
      <c r="BZ2" s="199"/>
      <c r="CA2" s="199"/>
      <c r="CB2" s="199"/>
      <c r="CC2" s="199"/>
      <c r="CD2" s="199"/>
      <c r="CE2" s="199"/>
      <c r="CF2" s="199"/>
      <c r="CG2" s="199"/>
      <c r="CH2" s="199"/>
      <c r="CI2" s="199"/>
      <c r="CJ2" s="199"/>
      <c r="CK2" s="199"/>
      <c r="CL2" s="199"/>
      <c r="CM2" s="199"/>
      <c r="CN2" s="199"/>
      <c r="CO2" s="199"/>
      <c r="CP2" s="199"/>
      <c r="CQ2" s="199"/>
      <c r="CR2" s="199"/>
      <c r="CS2" s="199"/>
      <c r="CT2" s="199"/>
      <c r="CU2" s="199"/>
      <c r="CV2" s="199"/>
      <c r="CW2" s="199"/>
      <c r="CX2" s="199"/>
      <c r="CY2" s="199"/>
      <c r="CZ2" s="199"/>
      <c r="DA2" s="199"/>
      <c r="DB2" s="199"/>
      <c r="DC2" s="199"/>
      <c r="DD2" s="199"/>
      <c r="DE2" s="199"/>
      <c r="DF2" s="199"/>
      <c r="DG2" s="199"/>
      <c r="DH2" s="199"/>
      <c r="DI2" s="199"/>
      <c r="DJ2" s="199"/>
      <c r="DK2" s="199"/>
      <c r="DL2" s="199"/>
      <c r="DM2" s="199"/>
      <c r="DN2" s="199"/>
      <c r="DO2" s="199"/>
      <c r="DP2" s="199"/>
      <c r="DQ2" s="199"/>
      <c r="DR2" s="199"/>
      <c r="DS2" s="199"/>
      <c r="DT2" s="199"/>
      <c r="DU2" s="199"/>
      <c r="DV2" s="199"/>
      <c r="DW2" s="199"/>
      <c r="DX2" s="199"/>
      <c r="DY2" s="199"/>
      <c r="DZ2" s="199"/>
      <c r="EA2" s="199"/>
      <c r="EB2" s="199"/>
      <c r="EC2" s="199"/>
      <c r="ED2" s="199"/>
      <c r="EE2" s="199"/>
      <c r="EF2" s="199"/>
      <c r="EG2" s="199"/>
      <c r="EH2" s="199"/>
      <c r="EI2" s="199"/>
      <c r="EJ2" s="199"/>
      <c r="EK2" s="199"/>
      <c r="EL2" s="199"/>
      <c r="EM2" s="199"/>
      <c r="EN2" s="199"/>
      <c r="EO2" s="199"/>
      <c r="EP2" s="199"/>
      <c r="EQ2" s="199"/>
      <c r="ER2" s="199"/>
      <c r="ES2" s="199"/>
      <c r="ET2" s="199"/>
      <c r="EU2" s="199"/>
      <c r="EV2" s="199"/>
      <c r="EW2" s="199"/>
      <c r="EX2" s="199"/>
      <c r="EY2" s="199"/>
      <c r="EZ2" s="200"/>
    </row>
    <row r="3" spans="1:163" s="14" customFormat="1" ht="47.25" customHeight="1" x14ac:dyDescent="0.2">
      <c r="B3" s="111"/>
      <c r="C3" s="112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112"/>
      <c r="R3" s="112"/>
      <c r="S3" s="112"/>
      <c r="T3" s="112"/>
      <c r="U3" s="112"/>
      <c r="V3" s="112"/>
      <c r="W3" s="204" t="s">
        <v>158</v>
      </c>
      <c r="X3" s="204"/>
      <c r="Y3" s="204"/>
      <c r="Z3" s="204"/>
      <c r="AA3" s="204"/>
      <c r="AB3" s="204"/>
      <c r="AC3" s="204"/>
      <c r="AD3" s="204"/>
      <c r="AE3" s="205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90"/>
    </row>
    <row r="4" spans="1:163" s="3" customFormat="1" ht="16.149999999999999" customHeight="1" x14ac:dyDescent="0.25">
      <c r="B4" s="91"/>
      <c r="C4" s="92"/>
      <c r="D4" s="92"/>
      <c r="E4" s="92"/>
      <c r="F4" s="92"/>
      <c r="G4" s="92"/>
      <c r="H4" s="92"/>
      <c r="I4" s="5"/>
      <c r="J4" s="92"/>
      <c r="K4" s="92"/>
      <c r="L4" s="5"/>
      <c r="M4" s="92"/>
      <c r="N4" s="92"/>
      <c r="O4" s="5"/>
      <c r="P4" s="92"/>
      <c r="Q4" s="92"/>
      <c r="R4" s="92"/>
      <c r="S4" s="93"/>
      <c r="T4" s="93"/>
      <c r="U4" s="93"/>
      <c r="V4" s="93"/>
      <c r="W4" s="94"/>
      <c r="X4" s="95"/>
      <c r="Y4" s="95"/>
      <c r="Z4" s="96"/>
      <c r="AA4" s="96"/>
      <c r="AB4" s="96"/>
      <c r="AC4" s="96"/>
      <c r="AD4" s="96"/>
      <c r="AE4" s="97"/>
      <c r="AF4" s="21"/>
      <c r="AG4" s="23"/>
      <c r="AH4" s="23"/>
      <c r="AI4" s="23"/>
      <c r="AJ4" s="23"/>
      <c r="AK4" s="23"/>
      <c r="AL4" s="23"/>
      <c r="AM4" s="23"/>
      <c r="AN4" s="21"/>
      <c r="AO4" s="27"/>
      <c r="AP4" s="27"/>
      <c r="AQ4" s="24"/>
      <c r="AR4" s="21"/>
      <c r="AS4" s="23"/>
      <c r="AT4" s="23"/>
      <c r="AU4" s="23"/>
      <c r="AV4" s="23"/>
      <c r="AW4" s="23"/>
      <c r="AX4" s="23"/>
      <c r="AY4" s="23"/>
      <c r="AZ4" s="21"/>
      <c r="BA4" s="27"/>
      <c r="BB4" s="27"/>
      <c r="BC4" s="24"/>
      <c r="BD4" s="22"/>
      <c r="BE4" s="23"/>
      <c r="BF4" s="23"/>
      <c r="BG4" s="23"/>
      <c r="BH4" s="23"/>
      <c r="BI4" s="23"/>
      <c r="BJ4" s="23"/>
      <c r="BK4" s="23"/>
      <c r="BL4" s="22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2"/>
      <c r="DA4" s="22"/>
      <c r="DB4" s="22"/>
      <c r="DC4" s="22"/>
      <c r="DD4" s="22"/>
      <c r="DE4" s="22"/>
      <c r="DF4" s="22"/>
      <c r="DG4" s="22"/>
      <c r="DH4" s="22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0"/>
      <c r="FB4" s="14"/>
      <c r="FC4" s="14"/>
      <c r="FD4" s="14"/>
      <c r="FE4" s="14"/>
      <c r="FF4" s="14"/>
      <c r="FG4" s="14"/>
    </row>
    <row r="5" spans="1:163" s="3" customFormat="1" ht="16.149999999999999" customHeight="1" x14ac:dyDescent="0.25">
      <c r="B5" s="178"/>
      <c r="C5" s="179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201"/>
      <c r="P5" s="127"/>
      <c r="Q5" s="98"/>
      <c r="R5" s="98"/>
      <c r="S5" s="136">
        <v>44900</v>
      </c>
      <c r="T5" s="128"/>
      <c r="U5" s="93"/>
      <c r="V5" s="93"/>
      <c r="W5" s="94" t="str">
        <f>IF(StatusKeyToDo="Undefined","",StatusKeyToDo)</f>
        <v>To do</v>
      </c>
      <c r="X5" s="95" t="str">
        <f>IF(StatusToDo="Undefined","",StatusToDo)</f>
        <v>Tâche ouverte</v>
      </c>
      <c r="Y5" s="95"/>
      <c r="Z5" s="96"/>
      <c r="AA5" s="96"/>
      <c r="AB5" s="96"/>
      <c r="AC5" s="96"/>
      <c r="AD5" s="96"/>
      <c r="AE5" s="100"/>
      <c r="AF5" s="24"/>
      <c r="AG5" s="23"/>
      <c r="AH5" s="23"/>
      <c r="AI5" s="23"/>
      <c r="AJ5" s="23"/>
      <c r="AK5" s="23"/>
      <c r="AL5" s="23"/>
      <c r="AM5" s="23"/>
      <c r="AN5" s="24"/>
      <c r="AO5" s="21"/>
      <c r="AP5" s="21"/>
      <c r="AQ5" s="21"/>
      <c r="AR5" s="27"/>
      <c r="AS5" s="23"/>
      <c r="AT5" s="23"/>
      <c r="AU5" s="23"/>
      <c r="AV5" s="23"/>
      <c r="AW5" s="23"/>
      <c r="AX5" s="23"/>
      <c r="AY5" s="23"/>
      <c r="AZ5" s="27"/>
      <c r="BA5" s="21"/>
      <c r="BB5" s="21"/>
      <c r="BC5" s="21"/>
      <c r="BD5" s="21"/>
      <c r="BE5" s="23"/>
      <c r="BF5" s="23"/>
      <c r="BG5" s="23"/>
      <c r="BH5" s="23"/>
      <c r="BI5" s="23"/>
      <c r="BJ5" s="23"/>
      <c r="BK5" s="23"/>
      <c r="BL5" s="21"/>
      <c r="BM5" s="27"/>
      <c r="BN5" s="27"/>
      <c r="BO5" s="24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7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2"/>
      <c r="DA5" s="22"/>
      <c r="DB5" s="22"/>
      <c r="DC5" s="22"/>
      <c r="DD5" s="22"/>
      <c r="DE5" s="22"/>
      <c r="DF5" s="22"/>
      <c r="DG5" s="22"/>
      <c r="DH5" s="22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0"/>
      <c r="FB5" s="14"/>
      <c r="FC5" s="14"/>
      <c r="FD5" s="14"/>
      <c r="FE5" s="14"/>
      <c r="FF5" s="14"/>
      <c r="FG5" s="14"/>
    </row>
    <row r="6" spans="1:163" s="3" customFormat="1" ht="16.149999999999999" customHeight="1" x14ac:dyDescent="0.25">
      <c r="B6" s="101"/>
      <c r="C6" s="102"/>
      <c r="D6" s="98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129" t="s">
        <v>112</v>
      </c>
      <c r="T6" s="129"/>
      <c r="U6" s="93"/>
      <c r="V6" s="93"/>
      <c r="W6" s="94" t="str">
        <f>IF(StatusKey1="Undefined","",StatusKey1)</f>
        <v>A</v>
      </c>
      <c r="X6" s="95" t="str">
        <f>IF(StatusKey1="Undefined","",Status1)</f>
        <v>Approuvé</v>
      </c>
      <c r="Y6" s="95"/>
      <c r="Z6" s="96"/>
      <c r="AA6" s="96"/>
      <c r="AB6" s="96"/>
      <c r="AC6" s="96"/>
      <c r="AD6" s="96"/>
      <c r="AE6" s="100"/>
      <c r="AF6" s="24"/>
      <c r="AG6" s="23"/>
      <c r="AH6" s="23"/>
      <c r="AI6" s="23"/>
      <c r="AJ6" s="23"/>
      <c r="AK6" s="23"/>
      <c r="AL6" s="23"/>
      <c r="AM6" s="23"/>
      <c r="AN6" s="24"/>
      <c r="AO6" s="21"/>
      <c r="AP6" s="21"/>
      <c r="AQ6" s="21"/>
      <c r="AR6" s="27"/>
      <c r="AS6" s="23"/>
      <c r="AT6" s="23"/>
      <c r="AU6" s="23"/>
      <c r="AV6" s="23"/>
      <c r="AW6" s="23"/>
      <c r="AX6" s="23"/>
      <c r="AY6" s="23"/>
      <c r="AZ6" s="27"/>
      <c r="BA6" s="21"/>
      <c r="BB6" s="21"/>
      <c r="BC6" s="21"/>
      <c r="BD6" s="21"/>
      <c r="BE6" s="23"/>
      <c r="BF6" s="23"/>
      <c r="BG6" s="23"/>
      <c r="BH6" s="23"/>
      <c r="BI6" s="23"/>
      <c r="BJ6" s="23"/>
      <c r="BK6" s="23"/>
      <c r="BL6" s="21"/>
      <c r="BM6" s="27"/>
      <c r="BN6" s="27"/>
      <c r="BO6" s="24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7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2"/>
      <c r="DA6" s="22"/>
      <c r="DB6" s="22"/>
      <c r="DC6" s="22"/>
      <c r="DD6" s="22"/>
      <c r="DE6" s="22"/>
      <c r="DF6" s="22"/>
      <c r="DG6" s="22"/>
      <c r="DH6" s="22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0"/>
      <c r="FB6" s="14"/>
      <c r="FC6" s="14"/>
      <c r="FD6" s="14"/>
      <c r="FE6" s="14"/>
      <c r="FF6" s="14"/>
      <c r="FG6" s="14"/>
    </row>
    <row r="7" spans="1:163" s="3" customFormat="1" ht="16.149999999999999" customHeight="1" x14ac:dyDescent="0.25">
      <c r="B7" s="101"/>
      <c r="C7" s="102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9"/>
      <c r="T7" s="99"/>
      <c r="U7" s="93"/>
      <c r="V7" s="93"/>
      <c r="W7" s="94" t="str">
        <f>IF(StatusKey2="Undefined","",StatusKey2)</f>
        <v>B</v>
      </c>
      <c r="X7" s="95" t="str">
        <f>IF(StatusKey2="Undefined","",Status2)</f>
        <v>Approuvé avec commentaires</v>
      </c>
      <c r="Y7" s="95"/>
      <c r="Z7" s="96"/>
      <c r="AA7" s="96"/>
      <c r="AB7" s="96"/>
      <c r="AC7" s="96"/>
      <c r="AD7" s="96"/>
      <c r="AE7" s="100"/>
      <c r="AF7" s="24"/>
      <c r="AG7" s="23"/>
      <c r="AH7" s="23"/>
      <c r="AI7" s="23"/>
      <c r="AJ7" s="23"/>
      <c r="AK7" s="23"/>
      <c r="AL7" s="23"/>
      <c r="AM7" s="23"/>
      <c r="AN7" s="24"/>
      <c r="AO7" s="21"/>
      <c r="AP7" s="21"/>
      <c r="AQ7" s="21"/>
      <c r="AR7" s="27"/>
      <c r="AS7" s="23"/>
      <c r="AT7" s="23"/>
      <c r="AU7" s="23"/>
      <c r="AV7" s="23"/>
      <c r="AW7" s="23"/>
      <c r="AX7" s="23"/>
      <c r="AY7" s="23"/>
      <c r="AZ7" s="27"/>
      <c r="BA7" s="21"/>
      <c r="BB7" s="21"/>
      <c r="BC7" s="21"/>
      <c r="BD7" s="21"/>
      <c r="BE7" s="23"/>
      <c r="BF7" s="23"/>
      <c r="BG7" s="23"/>
      <c r="BH7" s="23"/>
      <c r="BI7" s="23"/>
      <c r="BJ7" s="23"/>
      <c r="BK7" s="23"/>
      <c r="BL7" s="21"/>
      <c r="BM7" s="27"/>
      <c r="BN7" s="27"/>
      <c r="BO7" s="24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7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2"/>
      <c r="DA7" s="22"/>
      <c r="DB7" s="22"/>
      <c r="DC7" s="22"/>
      <c r="DD7" s="22"/>
      <c r="DE7" s="22"/>
      <c r="DF7" s="22"/>
      <c r="DG7" s="22"/>
      <c r="DH7" s="22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0"/>
      <c r="FB7" s="14"/>
      <c r="FC7" s="14"/>
      <c r="FD7" s="14"/>
      <c r="FE7" s="14"/>
      <c r="FF7" s="14"/>
      <c r="FG7" s="14"/>
    </row>
    <row r="8" spans="1:163" s="3" customFormat="1" ht="16.149999999999999" customHeight="1" x14ac:dyDescent="0.25">
      <c r="B8" s="101"/>
      <c r="C8" s="102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9"/>
      <c r="T8" s="99"/>
      <c r="U8" s="93"/>
      <c r="V8" s="93"/>
      <c r="W8" s="94" t="str">
        <f>IF(StatusKey3="Undefined","",StatusKey3)</f>
        <v>C</v>
      </c>
      <c r="X8" s="95" t="str">
        <f>IF(StatusKey3="Undefined","",Status3)</f>
        <v>Refusé</v>
      </c>
      <c r="Y8" s="95"/>
      <c r="Z8" s="96"/>
      <c r="AA8" s="96"/>
      <c r="AB8" s="96"/>
      <c r="AC8" s="96"/>
      <c r="AD8" s="96"/>
      <c r="AE8" s="100"/>
      <c r="AF8" s="24"/>
      <c r="AG8" s="23"/>
      <c r="AH8" s="23"/>
      <c r="AI8" s="23"/>
      <c r="AJ8" s="23"/>
      <c r="AK8" s="23"/>
      <c r="AL8" s="23"/>
      <c r="AM8" s="23"/>
      <c r="AN8" s="24"/>
      <c r="AO8" s="21"/>
      <c r="AP8" s="21"/>
      <c r="AQ8" s="21"/>
      <c r="AR8" s="27"/>
      <c r="AS8" s="23"/>
      <c r="AT8" s="23"/>
      <c r="AU8" s="23"/>
      <c r="AV8" s="23"/>
      <c r="AW8" s="23"/>
      <c r="AX8" s="23"/>
      <c r="AY8" s="23"/>
      <c r="AZ8" s="27"/>
      <c r="BA8" s="21"/>
      <c r="BB8" s="21"/>
      <c r="BC8" s="21"/>
      <c r="BD8" s="21"/>
      <c r="BE8" s="23"/>
      <c r="BF8" s="23"/>
      <c r="BG8" s="23"/>
      <c r="BH8" s="23"/>
      <c r="BI8" s="23"/>
      <c r="BJ8" s="23"/>
      <c r="BK8" s="23"/>
      <c r="BL8" s="21"/>
      <c r="BM8" s="27"/>
      <c r="BN8" s="27"/>
      <c r="BO8" s="24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7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2"/>
      <c r="DA8" s="22"/>
      <c r="DB8" s="22"/>
      <c r="DC8" s="22"/>
      <c r="DD8" s="22"/>
      <c r="DE8" s="22"/>
      <c r="DF8" s="22"/>
      <c r="DG8" s="22"/>
      <c r="DH8" s="22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0"/>
      <c r="FB8" s="14"/>
      <c r="FC8" s="14"/>
      <c r="FD8" s="14"/>
      <c r="FE8" s="14"/>
      <c r="FF8" s="14"/>
      <c r="FG8" s="14"/>
    </row>
    <row r="9" spans="1:163" s="3" customFormat="1" ht="16.149999999999999" customHeight="1" x14ac:dyDescent="0.25">
      <c r="B9" s="101"/>
      <c r="C9" s="102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9"/>
      <c r="T9" s="99"/>
      <c r="U9" s="93"/>
      <c r="V9" s="93"/>
      <c r="W9" s="94" t="str">
        <f>IF(StatusKey4="Undefined","",StatusKey4)</f>
        <v>D</v>
      </c>
      <c r="X9" s="103" t="str">
        <f>IF(StatusKey4="Undefined","",Status4)</f>
        <v>Non concerné</v>
      </c>
      <c r="Y9" s="95"/>
      <c r="Z9" s="96"/>
      <c r="AA9" s="96"/>
      <c r="AB9" s="96"/>
      <c r="AC9" s="96"/>
      <c r="AD9" s="96"/>
      <c r="AE9" s="100"/>
      <c r="AF9" s="24"/>
      <c r="AG9" s="23"/>
      <c r="AH9" s="23"/>
      <c r="AI9" s="23"/>
      <c r="AJ9" s="23"/>
      <c r="AK9" s="23"/>
      <c r="AL9" s="23"/>
      <c r="AM9" s="23"/>
      <c r="AN9" s="24"/>
      <c r="AO9" s="21"/>
      <c r="AP9" s="21"/>
      <c r="AQ9" s="21"/>
      <c r="AR9" s="27"/>
      <c r="AS9" s="23"/>
      <c r="AT9" s="23"/>
      <c r="AU9" s="23"/>
      <c r="AV9" s="23"/>
      <c r="AW9" s="23"/>
      <c r="AX9" s="23"/>
      <c r="AY9" s="23"/>
      <c r="AZ9" s="27"/>
      <c r="BA9" s="21"/>
      <c r="BB9" s="21"/>
      <c r="BC9" s="21"/>
      <c r="BD9" s="21"/>
      <c r="BE9" s="23"/>
      <c r="BF9" s="23"/>
      <c r="BG9" s="23"/>
      <c r="BH9" s="23"/>
      <c r="BI9" s="23"/>
      <c r="BJ9" s="23"/>
      <c r="BK9" s="23"/>
      <c r="BL9" s="21"/>
      <c r="BM9" s="27"/>
      <c r="BN9" s="27"/>
      <c r="BO9" s="24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7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2"/>
      <c r="DA9" s="22"/>
      <c r="DB9" s="22"/>
      <c r="DC9" s="22"/>
      <c r="DD9" s="22"/>
      <c r="DE9" s="22"/>
      <c r="DF9" s="22"/>
      <c r="DG9" s="22"/>
      <c r="DH9" s="22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0"/>
      <c r="FB9" s="14"/>
      <c r="FC9" s="14"/>
      <c r="FD9" s="14"/>
      <c r="FE9" s="14"/>
      <c r="FF9" s="14"/>
      <c r="FG9" s="14"/>
    </row>
    <row r="10" spans="1:163" s="3" customFormat="1" ht="16.149999999999999" customHeight="1" x14ac:dyDescent="0.25">
      <c r="B10" s="101"/>
      <c r="C10" s="102"/>
      <c r="D10" s="98"/>
      <c r="E10" s="98"/>
      <c r="F10" s="98"/>
      <c r="G10" s="98"/>
      <c r="H10" s="98"/>
      <c r="I10" s="98"/>
      <c r="J10" s="98"/>
      <c r="K10" s="98"/>
      <c r="L10" s="98"/>
      <c r="M10" s="98"/>
      <c r="N10" s="98"/>
      <c r="O10" s="98"/>
      <c r="P10" s="98"/>
      <c r="Q10" s="98"/>
      <c r="R10" s="98"/>
      <c r="S10" s="99"/>
      <c r="T10" s="99"/>
      <c r="U10" s="93"/>
      <c r="V10" s="93"/>
      <c r="W10" s="94" t="str">
        <f>IF(StatusKey5="Undefined","",StatusKey5)</f>
        <v/>
      </c>
      <c r="X10" s="103" t="str">
        <f>IF(StatusKey5="Undefined","",Status5)</f>
        <v/>
      </c>
      <c r="Y10" s="95"/>
      <c r="Z10" s="96"/>
      <c r="AA10" s="96"/>
      <c r="AB10" s="96"/>
      <c r="AC10" s="96"/>
      <c r="AD10" s="96"/>
      <c r="AE10" s="100"/>
      <c r="AF10" s="24"/>
      <c r="AG10" s="23"/>
      <c r="AH10" s="23"/>
      <c r="AI10" s="23"/>
      <c r="AJ10" s="23"/>
      <c r="AK10" s="23"/>
      <c r="AL10" s="23"/>
      <c r="AM10" s="23"/>
      <c r="AN10" s="24"/>
      <c r="AO10" s="21"/>
      <c r="AP10" s="21"/>
      <c r="AQ10" s="21"/>
      <c r="AR10" s="27"/>
      <c r="AS10" s="23"/>
      <c r="AT10" s="23"/>
      <c r="AU10" s="23"/>
      <c r="AV10" s="23"/>
      <c r="AW10" s="23"/>
      <c r="AX10" s="23"/>
      <c r="AY10" s="23"/>
      <c r="AZ10" s="27"/>
      <c r="BA10" s="21"/>
      <c r="BB10" s="21"/>
      <c r="BC10" s="21"/>
      <c r="BD10" s="21"/>
      <c r="BE10" s="23"/>
      <c r="BF10" s="23"/>
      <c r="BG10" s="23"/>
      <c r="BH10" s="23"/>
      <c r="BI10" s="23"/>
      <c r="BJ10" s="23"/>
      <c r="BK10" s="23"/>
      <c r="BL10" s="21"/>
      <c r="BM10" s="27"/>
      <c r="BN10" s="27"/>
      <c r="BO10" s="24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7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2"/>
      <c r="DA10" s="22"/>
      <c r="DB10" s="22"/>
      <c r="DC10" s="22"/>
      <c r="DD10" s="22"/>
      <c r="DE10" s="22"/>
      <c r="DF10" s="22"/>
      <c r="DG10" s="22"/>
      <c r="DH10" s="22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0"/>
      <c r="FB10" s="14"/>
      <c r="FC10" s="14"/>
      <c r="FD10" s="14"/>
      <c r="FE10" s="14"/>
      <c r="FF10" s="14"/>
      <c r="FG10" s="14"/>
    </row>
    <row r="11" spans="1:163" s="3" customFormat="1" ht="16.149999999999999" customHeight="1" x14ac:dyDescent="0.25">
      <c r="B11" s="101"/>
      <c r="C11" s="102"/>
      <c r="D11" s="98"/>
      <c r="E11" s="98"/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9"/>
      <c r="T11" s="99"/>
      <c r="U11" s="93"/>
      <c r="V11" s="93"/>
      <c r="W11" s="94" t="str">
        <f>IF(StatusKey6="Undefined","",StatusKey6)</f>
        <v/>
      </c>
      <c r="X11" s="103" t="str">
        <f>IF(StatusKey6="Undefined","",Status6)</f>
        <v/>
      </c>
      <c r="Y11" s="95"/>
      <c r="Z11" s="96"/>
      <c r="AA11" s="96"/>
      <c r="AB11" s="96"/>
      <c r="AC11" s="96"/>
      <c r="AD11" s="96"/>
      <c r="AE11" s="100"/>
      <c r="AF11" s="24"/>
      <c r="AG11" s="23"/>
      <c r="AH11" s="23"/>
      <c r="AI11" s="23"/>
      <c r="AJ11" s="23"/>
      <c r="AK11" s="23"/>
      <c r="AL11" s="23"/>
      <c r="AM11" s="23"/>
      <c r="AN11" s="24"/>
      <c r="AO11" s="21"/>
      <c r="AP11" s="21"/>
      <c r="AQ11" s="21"/>
      <c r="AR11" s="27"/>
      <c r="AS11" s="23"/>
      <c r="AT11" s="23"/>
      <c r="AU11" s="23"/>
      <c r="AV11" s="23"/>
      <c r="AW11" s="23"/>
      <c r="AX11" s="23"/>
      <c r="AY11" s="23"/>
      <c r="AZ11" s="27"/>
      <c r="BA11" s="21"/>
      <c r="BB11" s="21"/>
      <c r="BC11" s="21"/>
      <c r="BD11" s="21"/>
      <c r="BE11" s="23"/>
      <c r="BF11" s="23"/>
      <c r="BG11" s="23"/>
      <c r="BH11" s="23"/>
      <c r="BI11" s="23"/>
      <c r="BJ11" s="23"/>
      <c r="BK11" s="23"/>
      <c r="BL11" s="21"/>
      <c r="BM11" s="27"/>
      <c r="BN11" s="27"/>
      <c r="BO11" s="24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7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2"/>
      <c r="DA11" s="22"/>
      <c r="DB11" s="22"/>
      <c r="DC11" s="22"/>
      <c r="DD11" s="22"/>
      <c r="DE11" s="22"/>
      <c r="DF11" s="22"/>
      <c r="DG11" s="22"/>
      <c r="DH11" s="22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0"/>
      <c r="FB11" s="14"/>
      <c r="FC11" s="14"/>
      <c r="FD11" s="14"/>
      <c r="FE11" s="14"/>
      <c r="FF11" s="14"/>
      <c r="FG11" s="14"/>
    </row>
    <row r="12" spans="1:163" s="3" customFormat="1" ht="15.4" customHeight="1" thickBot="1" x14ac:dyDescent="0.25">
      <c r="B12" s="104"/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6"/>
      <c r="T12" s="106"/>
      <c r="U12" s="106"/>
      <c r="V12" s="106"/>
      <c r="W12" s="107"/>
      <c r="X12" s="107"/>
      <c r="Y12" s="107"/>
      <c r="Z12" s="107"/>
      <c r="AA12" s="107"/>
      <c r="AB12" s="107"/>
      <c r="AC12" s="107"/>
      <c r="AD12" s="107"/>
      <c r="AE12" s="108"/>
      <c r="AF12" s="12"/>
      <c r="AG12" s="13"/>
      <c r="AH12" s="13"/>
      <c r="AI12" s="13"/>
      <c r="AJ12" s="13"/>
      <c r="AK12" s="13"/>
      <c r="AL12" s="13"/>
      <c r="AM12" s="13"/>
      <c r="AN12" s="12"/>
      <c r="AO12" s="12"/>
      <c r="AP12" s="12"/>
      <c r="AQ12" s="12"/>
      <c r="AR12" s="12"/>
      <c r="AS12" s="13"/>
      <c r="AT12" s="13"/>
      <c r="AU12" s="13"/>
      <c r="AV12" s="13"/>
      <c r="AW12" s="13"/>
      <c r="AX12" s="13"/>
      <c r="AY12" s="13"/>
      <c r="AZ12" s="12"/>
      <c r="BA12" s="12"/>
      <c r="BB12" s="12"/>
      <c r="BC12" s="12"/>
      <c r="BE12" s="13"/>
      <c r="BF12" s="13"/>
      <c r="BG12" s="13"/>
      <c r="BH12" s="13"/>
      <c r="BI12" s="13"/>
      <c r="BJ12" s="13"/>
      <c r="BK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0"/>
      <c r="FB12" s="14"/>
      <c r="FC12" s="14"/>
      <c r="FD12" s="14"/>
      <c r="FE12" s="14"/>
      <c r="FF12" s="14"/>
      <c r="FG12" s="14"/>
    </row>
    <row r="13" spans="1:163" s="6" customFormat="1" ht="37.5" customHeight="1" thickBot="1" x14ac:dyDescent="0.25">
      <c r="B13" s="190" t="s">
        <v>2</v>
      </c>
      <c r="C13" s="155" t="s">
        <v>3</v>
      </c>
      <c r="D13" s="155" t="s">
        <v>4</v>
      </c>
      <c r="E13" s="186" t="s">
        <v>92</v>
      </c>
      <c r="F13" s="155" t="s">
        <v>6</v>
      </c>
      <c r="G13" s="155" t="s">
        <v>93</v>
      </c>
      <c r="H13" s="155" t="s">
        <v>94</v>
      </c>
      <c r="I13" s="155" t="s">
        <v>95</v>
      </c>
      <c r="J13" s="155" t="s">
        <v>96</v>
      </c>
      <c r="K13" s="155" t="s">
        <v>97</v>
      </c>
      <c r="L13" s="155" t="s">
        <v>98</v>
      </c>
      <c r="M13" s="155" t="s">
        <v>99</v>
      </c>
      <c r="N13" s="155" t="s">
        <v>100</v>
      </c>
      <c r="O13" s="155" t="s">
        <v>101</v>
      </c>
      <c r="P13" s="161" t="s">
        <v>102</v>
      </c>
      <c r="Q13" s="161" t="s">
        <v>103</v>
      </c>
      <c r="R13" s="161" t="s">
        <v>104</v>
      </c>
      <c r="S13" s="189" t="s">
        <v>105</v>
      </c>
      <c r="T13" s="189" t="s">
        <v>8</v>
      </c>
      <c r="U13" s="155" t="s">
        <v>21</v>
      </c>
      <c r="V13" s="53"/>
      <c r="W13" s="166" t="s">
        <v>108</v>
      </c>
      <c r="X13" s="167"/>
      <c r="Y13" s="167"/>
      <c r="Z13" s="167"/>
      <c r="AA13" s="167"/>
      <c r="AB13" s="167"/>
      <c r="AC13" s="167"/>
      <c r="AD13" s="167"/>
      <c r="AE13" s="168"/>
      <c r="AF13" s="172" t="str">
        <f>UPPER("Architecte")</f>
        <v>ARCHITECTE</v>
      </c>
      <c r="AG13" s="173"/>
      <c r="AH13" s="173"/>
      <c r="AI13" s="173"/>
      <c r="AJ13" s="173"/>
      <c r="AK13" s="173"/>
      <c r="AL13" s="173"/>
      <c r="AM13" s="173"/>
      <c r="AN13" s="173"/>
      <c r="AO13" s="173"/>
      <c r="AP13" s="174"/>
      <c r="AQ13" s="72" t="str">
        <f>UPPER("ar")</f>
        <v>AR</v>
      </c>
      <c r="AR13" s="172" t="str">
        <f>UPPER("BE STAB/TS")</f>
        <v>BE STAB/TS</v>
      </c>
      <c r="AS13" s="173"/>
      <c r="AT13" s="173"/>
      <c r="AU13" s="173"/>
      <c r="AV13" s="173"/>
      <c r="AW13" s="173"/>
      <c r="AX13" s="173"/>
      <c r="AY13" s="173"/>
      <c r="AZ13" s="173"/>
      <c r="BA13" s="173"/>
      <c r="BB13" s="174"/>
      <c r="BC13" s="72" t="str">
        <f>UPPER("Stab/TS")</f>
        <v>STAB/TS</v>
      </c>
      <c r="BD13" s="172" t="str">
        <f>UPPER("Acoustique")</f>
        <v>ACOUSTIQUE</v>
      </c>
      <c r="BE13" s="173"/>
      <c r="BF13" s="173"/>
      <c r="BG13" s="173"/>
      <c r="BH13" s="173"/>
      <c r="BI13" s="173"/>
      <c r="BJ13" s="173"/>
      <c r="BK13" s="173"/>
      <c r="BL13" s="173"/>
      <c r="BM13" s="173"/>
      <c r="BN13" s="174"/>
      <c r="BO13" s="72" t="str">
        <f>UPPER("acc")</f>
        <v>ACC</v>
      </c>
      <c r="BP13" s="172" t="str">
        <f>UPPER("CSS")</f>
        <v>CSS</v>
      </c>
      <c r="BQ13" s="173"/>
      <c r="BR13" s="173"/>
      <c r="BS13" s="173"/>
      <c r="BT13" s="173"/>
      <c r="BU13" s="173"/>
      <c r="BV13" s="173"/>
      <c r="BW13" s="173"/>
      <c r="BX13" s="173"/>
      <c r="BY13" s="173"/>
      <c r="BZ13" s="174"/>
      <c r="CA13" s="72" t="str">
        <f>UPPER("css")</f>
        <v>CSS</v>
      </c>
      <c r="CB13" s="172"/>
      <c r="CC13" s="173"/>
      <c r="CD13" s="173"/>
      <c r="CE13" s="173"/>
      <c r="CF13" s="173"/>
      <c r="CG13" s="173"/>
      <c r="CH13" s="173"/>
      <c r="CI13" s="173"/>
      <c r="CJ13" s="173"/>
      <c r="CK13" s="173"/>
      <c r="CL13" s="174"/>
      <c r="CM13" s="72"/>
      <c r="CN13" s="172"/>
      <c r="CO13" s="173"/>
      <c r="CP13" s="173"/>
      <c r="CQ13" s="173"/>
      <c r="CR13" s="173"/>
      <c r="CS13" s="173"/>
      <c r="CT13" s="173"/>
      <c r="CU13" s="173"/>
      <c r="CV13" s="173"/>
      <c r="CW13" s="173"/>
      <c r="CX13" s="174"/>
      <c r="CY13" s="72"/>
      <c r="CZ13" s="172"/>
      <c r="DA13" s="173"/>
      <c r="DB13" s="173"/>
      <c r="DC13" s="173"/>
      <c r="DD13" s="173"/>
      <c r="DE13" s="173"/>
      <c r="DF13" s="173"/>
      <c r="DG13" s="173"/>
      <c r="DH13" s="173"/>
      <c r="DI13" s="173"/>
      <c r="DJ13" s="174"/>
      <c r="DK13" s="72"/>
      <c r="DL13" s="172"/>
      <c r="DM13" s="173"/>
      <c r="DN13" s="173"/>
      <c r="DO13" s="173"/>
      <c r="DP13" s="173"/>
      <c r="DQ13" s="173"/>
      <c r="DR13" s="173"/>
      <c r="DS13" s="173"/>
      <c r="DT13" s="173"/>
      <c r="DU13" s="173"/>
      <c r="DV13" s="174"/>
      <c r="DW13" s="72"/>
      <c r="DX13" s="175"/>
      <c r="DY13" s="176"/>
      <c r="DZ13" s="176"/>
      <c r="EA13" s="176"/>
      <c r="EB13" s="176"/>
      <c r="EC13" s="176"/>
      <c r="ED13" s="176"/>
      <c r="EE13" s="176"/>
      <c r="EF13" s="176"/>
      <c r="EG13" s="176"/>
      <c r="EH13" s="177"/>
      <c r="EI13" s="73"/>
      <c r="EJ13" s="158" t="str">
        <f>UPPER("Maître d'ouvrage")</f>
        <v>MAÎTRE D'OUVRAGE</v>
      </c>
      <c r="EK13" s="159"/>
      <c r="EL13" s="159"/>
      <c r="EM13" s="159"/>
      <c r="EN13" s="159"/>
      <c r="EO13" s="159"/>
      <c r="EP13" s="159"/>
      <c r="EQ13" s="159"/>
      <c r="ER13" s="159"/>
      <c r="ES13" s="159"/>
      <c r="ET13" s="160"/>
      <c r="EU13" s="133" t="str">
        <f>UPPER("mo")</f>
        <v>MO</v>
      </c>
      <c r="EV13" s="18"/>
      <c r="EW13" s="18"/>
      <c r="EX13" s="18"/>
      <c r="EY13" s="18"/>
      <c r="EZ13" s="183" t="s">
        <v>113</v>
      </c>
      <c r="FB13" s="14"/>
      <c r="FC13" s="14"/>
      <c r="FD13" s="14"/>
      <c r="FE13" s="14"/>
      <c r="FF13" s="14"/>
      <c r="FG13" s="14"/>
    </row>
    <row r="14" spans="1:163" s="6" customFormat="1" ht="30" customHeight="1" x14ac:dyDescent="0.2">
      <c r="B14" s="191"/>
      <c r="C14" s="156"/>
      <c r="D14" s="156"/>
      <c r="E14" s="187"/>
      <c r="F14" s="156"/>
      <c r="G14" s="156"/>
      <c r="H14" s="156"/>
      <c r="I14" s="156"/>
      <c r="J14" s="156"/>
      <c r="K14" s="156"/>
      <c r="L14" s="156"/>
      <c r="M14" s="156"/>
      <c r="N14" s="156"/>
      <c r="O14" s="156"/>
      <c r="P14" s="164"/>
      <c r="Q14" s="164"/>
      <c r="R14" s="162"/>
      <c r="S14" s="162"/>
      <c r="T14" s="162"/>
      <c r="U14" s="156"/>
      <c r="V14" s="54"/>
      <c r="W14" s="169"/>
      <c r="X14" s="170"/>
      <c r="Y14" s="170"/>
      <c r="Z14" s="170"/>
      <c r="AA14" s="170"/>
      <c r="AB14" s="170"/>
      <c r="AC14" s="170"/>
      <c r="AD14" s="170"/>
      <c r="AE14" s="171"/>
      <c r="AF14" s="180"/>
      <c r="AG14" s="181"/>
      <c r="AH14" s="181"/>
      <c r="AI14" s="181"/>
      <c r="AJ14" s="181"/>
      <c r="AK14" s="181"/>
      <c r="AL14" s="181"/>
      <c r="AM14" s="181"/>
      <c r="AN14" s="181"/>
      <c r="AO14" s="181"/>
      <c r="AP14" s="181"/>
      <c r="AQ14" s="182"/>
      <c r="AR14" s="180"/>
      <c r="AS14" s="181"/>
      <c r="AT14" s="181"/>
      <c r="AU14" s="181"/>
      <c r="AV14" s="181"/>
      <c r="AW14" s="181"/>
      <c r="AX14" s="181"/>
      <c r="AY14" s="181"/>
      <c r="AZ14" s="181"/>
      <c r="BA14" s="181"/>
      <c r="BB14" s="181"/>
      <c r="BC14" s="182"/>
      <c r="BD14" s="180"/>
      <c r="BE14" s="181"/>
      <c r="BF14" s="181"/>
      <c r="BG14" s="181"/>
      <c r="BH14" s="181"/>
      <c r="BI14" s="181"/>
      <c r="BJ14" s="181"/>
      <c r="BK14" s="181"/>
      <c r="BL14" s="181"/>
      <c r="BM14" s="181"/>
      <c r="BN14" s="181"/>
      <c r="BO14" s="182"/>
      <c r="BP14" s="180"/>
      <c r="BQ14" s="181"/>
      <c r="BR14" s="181"/>
      <c r="BS14" s="181"/>
      <c r="BT14" s="181"/>
      <c r="BU14" s="181"/>
      <c r="BV14" s="181"/>
      <c r="BW14" s="181"/>
      <c r="BX14" s="181"/>
      <c r="BY14" s="181"/>
      <c r="BZ14" s="181"/>
      <c r="CA14" s="182"/>
      <c r="CB14" s="180"/>
      <c r="CC14" s="181"/>
      <c r="CD14" s="181"/>
      <c r="CE14" s="181"/>
      <c r="CF14" s="181"/>
      <c r="CG14" s="181"/>
      <c r="CH14" s="181"/>
      <c r="CI14" s="181"/>
      <c r="CJ14" s="181"/>
      <c r="CK14" s="181"/>
      <c r="CL14" s="181"/>
      <c r="CM14" s="182"/>
      <c r="CN14" s="180"/>
      <c r="CO14" s="181"/>
      <c r="CP14" s="181"/>
      <c r="CQ14" s="181"/>
      <c r="CR14" s="181"/>
      <c r="CS14" s="181"/>
      <c r="CT14" s="181"/>
      <c r="CU14" s="181"/>
      <c r="CV14" s="181"/>
      <c r="CW14" s="181"/>
      <c r="CX14" s="181"/>
      <c r="CY14" s="182"/>
      <c r="CZ14" s="180"/>
      <c r="DA14" s="181"/>
      <c r="DB14" s="181"/>
      <c r="DC14" s="181"/>
      <c r="DD14" s="181"/>
      <c r="DE14" s="181"/>
      <c r="DF14" s="181"/>
      <c r="DG14" s="181"/>
      <c r="DH14" s="181"/>
      <c r="DI14" s="181"/>
      <c r="DJ14" s="181"/>
      <c r="DK14" s="182"/>
      <c r="DL14" s="180"/>
      <c r="DM14" s="181"/>
      <c r="DN14" s="181"/>
      <c r="DO14" s="181"/>
      <c r="DP14" s="181"/>
      <c r="DQ14" s="181"/>
      <c r="DR14" s="181"/>
      <c r="DS14" s="181"/>
      <c r="DT14" s="181"/>
      <c r="DU14" s="181"/>
      <c r="DV14" s="181"/>
      <c r="DW14" s="182"/>
      <c r="DX14" s="193"/>
      <c r="DY14" s="194"/>
      <c r="DZ14" s="194"/>
      <c r="EA14" s="194"/>
      <c r="EB14" s="194"/>
      <c r="EC14" s="194"/>
      <c r="ED14" s="194"/>
      <c r="EE14" s="194"/>
      <c r="EF14" s="194"/>
      <c r="EG14" s="194"/>
      <c r="EH14" s="194"/>
      <c r="EI14" s="195"/>
      <c r="EJ14" s="196"/>
      <c r="EK14" s="197"/>
      <c r="EL14" s="197"/>
      <c r="EM14" s="197"/>
      <c r="EN14" s="197"/>
      <c r="EO14" s="197"/>
      <c r="EP14" s="197"/>
      <c r="EQ14" s="197"/>
      <c r="ER14" s="197"/>
      <c r="ES14" s="197"/>
      <c r="ET14" s="197"/>
      <c r="EU14" s="198"/>
      <c r="EV14" s="18"/>
      <c r="EW14" s="18"/>
      <c r="EX14" s="18"/>
      <c r="EY14" s="18"/>
      <c r="EZ14" s="184"/>
    </row>
    <row r="15" spans="1:163" s="4" customFormat="1" ht="66" customHeight="1" thickBot="1" x14ac:dyDescent="0.25">
      <c r="B15" s="192"/>
      <c r="C15" s="157"/>
      <c r="D15" s="157"/>
      <c r="E15" s="188"/>
      <c r="F15" s="157"/>
      <c r="G15" s="157"/>
      <c r="H15" s="157"/>
      <c r="I15" s="157"/>
      <c r="J15" s="157"/>
      <c r="K15" s="157"/>
      <c r="L15" s="157"/>
      <c r="M15" s="157"/>
      <c r="N15" s="157"/>
      <c r="O15" s="157"/>
      <c r="P15" s="165"/>
      <c r="Q15" s="165"/>
      <c r="R15" s="163"/>
      <c r="S15" s="163"/>
      <c r="T15" s="163"/>
      <c r="U15" s="157"/>
      <c r="V15" s="55"/>
      <c r="W15" s="139" t="s">
        <v>9</v>
      </c>
      <c r="X15" s="140" t="s">
        <v>106</v>
      </c>
      <c r="Y15" s="140" t="s">
        <v>107</v>
      </c>
      <c r="Z15" s="141" t="s">
        <v>111</v>
      </c>
      <c r="AA15" s="141" t="s">
        <v>10</v>
      </c>
      <c r="AB15" s="141" t="s">
        <v>11</v>
      </c>
      <c r="AC15" s="142" t="s">
        <v>12</v>
      </c>
      <c r="AD15" s="142" t="s">
        <v>26</v>
      </c>
      <c r="AE15" s="143" t="s">
        <v>27</v>
      </c>
      <c r="AF15" s="144" t="str">
        <f>UPPER(Contribute&amp;CHAR(10)&amp;"ar")</f>
        <v>CONTRIB.
AR</v>
      </c>
      <c r="AG15" s="145" t="str">
        <f>UPPER(Assigned&amp;CHAR(10)&amp;"ar"&amp;" - CL")</f>
        <v>ASSIGNÉ
AR - CL</v>
      </c>
      <c r="AH15" s="145" t="str">
        <f>UPPER(Status&amp;CHAR(10)&amp;"ar"&amp;" - CL")</f>
        <v>STATUT
AR - CL</v>
      </c>
      <c r="AI15" s="145" t="str">
        <f>UPPER(Comment&amp;CHAR(10)&amp;"ar"&amp;" - CL")</f>
        <v>COMMENT.
AR - CL</v>
      </c>
      <c r="AJ15" s="145" t="str">
        <f>UPPER(Attachment&amp;CHAR(10)&amp;"ar"&amp;" - CL")</f>
        <v>PIÈCE J.
AR - CL</v>
      </c>
      <c r="AK15" s="145" t="str">
        <f>UPPER(Annotation&amp;CHAR(10)&amp;"ar"&amp;" - CL")</f>
        <v>ANNOTATION
AR - CL</v>
      </c>
      <c r="AL15" s="141" t="str">
        <f>UPPER(Deadline&amp;CHAR(10)&amp;"ar"&amp;" - CL")</f>
        <v>ÉCHÉANCE
AR - CL</v>
      </c>
      <c r="AM15" s="141" t="str">
        <f>UPPER(ApprovalDate&amp;CHAR(10)&amp;"ar"&amp;" - CL")</f>
        <v>DATE APPROB.
AR - CL</v>
      </c>
      <c r="AN15" s="141" t="str">
        <f>UPPER(Status&amp;CHAR(10)&amp;"ar")</f>
        <v>STATUT
AR</v>
      </c>
      <c r="AO15" s="141" t="str">
        <f>UPPER(ApprovalDate&amp;CHAR(10)&amp;"ar")</f>
        <v>DATE APPROB.
AR</v>
      </c>
      <c r="AP15" s="141" t="str">
        <f>UPPER("Workflow Status")</f>
        <v>WORKFLOW STATUS</v>
      </c>
      <c r="AQ15" s="146" t="str">
        <f>UPPER(Delay&amp;CHAR(10)&amp;"Approb "&amp;CHAR(10)&amp;"ar")</f>
        <v>DÉLAI
APPROB 
AR</v>
      </c>
      <c r="AR15" s="144" t="str">
        <f>UPPER(Contribute&amp;CHAR(10)&amp;"Stab/TS")</f>
        <v>CONTRIB.
STAB/TS</v>
      </c>
      <c r="AS15" s="145" t="str">
        <f>UPPER(Assigned&amp;CHAR(10)&amp;"Stab/TS"&amp;" - CL")</f>
        <v>ASSIGNÉ
STAB/TS - CL</v>
      </c>
      <c r="AT15" s="145" t="str">
        <f>UPPER(Status&amp;CHAR(10)&amp;"Stab/TS"&amp;" - CL")</f>
        <v>STATUT
STAB/TS - CL</v>
      </c>
      <c r="AU15" s="145" t="str">
        <f>UPPER(Comment&amp;CHAR(10)&amp;"Stab/TS"&amp;" - CL")</f>
        <v>COMMENT.
STAB/TS - CL</v>
      </c>
      <c r="AV15" s="145" t="str">
        <f>UPPER(Attachment&amp;CHAR(10)&amp;"Stab/TS"&amp;" - CL")</f>
        <v>PIÈCE J.
STAB/TS - CL</v>
      </c>
      <c r="AW15" s="145" t="str">
        <f>UPPER(Annotation&amp;CHAR(10)&amp;"Stab/TS"&amp;" - CL")</f>
        <v>ANNOTATION
STAB/TS - CL</v>
      </c>
      <c r="AX15" s="141" t="str">
        <f>UPPER(Deadline&amp;CHAR(10)&amp;"Stab/TS"&amp;" - CL")</f>
        <v>ÉCHÉANCE
STAB/TS - CL</v>
      </c>
      <c r="AY15" s="141" t="str">
        <f>UPPER(ApprovalDate&amp;CHAR(10)&amp;"Stab/TS"&amp;" - CL")</f>
        <v>DATE APPROB.
STAB/TS - CL</v>
      </c>
      <c r="AZ15" s="141" t="str">
        <f>UPPER(Status&amp;CHAR(10)&amp;"Stab/TS")</f>
        <v>STATUT
STAB/TS</v>
      </c>
      <c r="BA15" s="141" t="str">
        <f>UPPER(ApprovalDate&amp;CHAR(10)&amp;"Stab/TS")</f>
        <v>DATE APPROB.
STAB/TS</v>
      </c>
      <c r="BB15" s="141" t="str">
        <f>UPPER("Workflow Status")</f>
        <v>WORKFLOW STATUS</v>
      </c>
      <c r="BC15" s="146" t="str">
        <f>UPPER(Delay&amp;CHAR(10)&amp;"Approb "&amp;CHAR(10)&amp;"Stab/TS")</f>
        <v>DÉLAI
APPROB 
STAB/TS</v>
      </c>
      <c r="BD15" s="144" t="str">
        <f>UPPER(Contribute&amp;CHAR(10)&amp;"acc")</f>
        <v>CONTRIB.
ACC</v>
      </c>
      <c r="BE15" s="145" t="str">
        <f>UPPER(Assigned&amp;CHAR(10)&amp;"acc"&amp;" - CL")</f>
        <v>ASSIGNÉ
ACC - CL</v>
      </c>
      <c r="BF15" s="145" t="str">
        <f>UPPER(Status&amp;CHAR(10)&amp;"acc"&amp;" - CL")</f>
        <v>STATUT
ACC - CL</v>
      </c>
      <c r="BG15" s="145" t="str">
        <f>UPPER(Comment&amp;CHAR(10)&amp;"acc"&amp;" - CL")</f>
        <v>COMMENT.
ACC - CL</v>
      </c>
      <c r="BH15" s="145" t="str">
        <f>UPPER(Attachment&amp;CHAR(10)&amp;"acc"&amp;" - CL")</f>
        <v>PIÈCE J.
ACC - CL</v>
      </c>
      <c r="BI15" s="145" t="str">
        <f>UPPER(Annotation&amp;CHAR(10)&amp;"acc"&amp;" - CL")</f>
        <v>ANNOTATION
ACC - CL</v>
      </c>
      <c r="BJ15" s="141" t="str">
        <f>UPPER(Deadline&amp;CHAR(10)&amp;"acc"&amp;" - CL")</f>
        <v>ÉCHÉANCE
ACC - CL</v>
      </c>
      <c r="BK15" s="141" t="str">
        <f>UPPER(ApprovalDate&amp;CHAR(10)&amp;"acc"&amp;" - CL")</f>
        <v>DATE APPROB.
ACC - CL</v>
      </c>
      <c r="BL15" s="141" t="str">
        <f>UPPER(Status&amp;CHAR(10)&amp;"acc")</f>
        <v>STATUT
ACC</v>
      </c>
      <c r="BM15" s="141" t="str">
        <f>UPPER(ApprovalDate&amp;CHAR(10)&amp;"acc")</f>
        <v>DATE APPROB.
ACC</v>
      </c>
      <c r="BN15" s="141" t="str">
        <f>UPPER("Workflow Status")</f>
        <v>WORKFLOW STATUS</v>
      </c>
      <c r="BO15" s="146" t="str">
        <f>UPPER(Delay&amp;CHAR(10)&amp;"Approb "&amp;CHAR(10)&amp;"acc")</f>
        <v>DÉLAI
APPROB 
ACC</v>
      </c>
      <c r="BP15" s="144" t="str">
        <f>UPPER(Contribute&amp;CHAR(10)&amp;"css")</f>
        <v>CONTRIB.
CSS</v>
      </c>
      <c r="BQ15" s="145" t="str">
        <f>UPPER(Assigned&amp;CHAR(10)&amp;"css"&amp;" - CL")</f>
        <v>ASSIGNÉ
CSS - CL</v>
      </c>
      <c r="BR15" s="145" t="str">
        <f>UPPER(Status&amp;CHAR(10)&amp;"css"&amp;" - CL")</f>
        <v>STATUT
CSS - CL</v>
      </c>
      <c r="BS15" s="145" t="str">
        <f>UPPER(Comment&amp;CHAR(10)&amp;"css"&amp;" - CL")</f>
        <v>COMMENT.
CSS - CL</v>
      </c>
      <c r="BT15" s="145" t="str">
        <f>UPPER(Attachment&amp;CHAR(10)&amp;"css"&amp;" - CL")</f>
        <v>PIÈCE J.
CSS - CL</v>
      </c>
      <c r="BU15" s="145" t="str">
        <f>UPPER(Annotation&amp;CHAR(10)&amp;"css"&amp;" - CL")</f>
        <v>ANNOTATION
CSS - CL</v>
      </c>
      <c r="BV15" s="141" t="str">
        <f>UPPER(Deadline&amp;CHAR(10)&amp;"css"&amp;" - CL")</f>
        <v>ÉCHÉANCE
CSS - CL</v>
      </c>
      <c r="BW15" s="141" t="str">
        <f>UPPER(ApprovalDate&amp;CHAR(10)&amp;"css"&amp;" - CL")</f>
        <v>DATE APPROB.
CSS - CL</v>
      </c>
      <c r="BX15" s="141" t="str">
        <f>UPPER(Status&amp;CHAR(10)&amp;"css")</f>
        <v>STATUT
CSS</v>
      </c>
      <c r="BY15" s="141" t="str">
        <f>UPPER(ApprovalDate&amp;CHAR(10)&amp;"css")</f>
        <v>DATE APPROB.
CSS</v>
      </c>
      <c r="BZ15" s="141" t="str">
        <f>UPPER("Workflow Status")</f>
        <v>WORKFLOW STATUS</v>
      </c>
      <c r="CA15" s="146" t="str">
        <f>UPPER(Delay&amp;CHAR(10)&amp;"Approb "&amp;CHAR(10)&amp;"css")</f>
        <v>DÉLAI
APPROB 
CSS</v>
      </c>
      <c r="CB15" s="144"/>
      <c r="CC15" s="145"/>
      <c r="CD15" s="145"/>
      <c r="CE15" s="145"/>
      <c r="CF15" s="145"/>
      <c r="CG15" s="145"/>
      <c r="CH15" s="141"/>
      <c r="CI15" s="141"/>
      <c r="CJ15" s="141"/>
      <c r="CK15" s="141"/>
      <c r="CL15" s="141"/>
      <c r="CM15" s="146"/>
      <c r="CN15" s="144"/>
      <c r="CO15" s="145"/>
      <c r="CP15" s="145"/>
      <c r="CQ15" s="145"/>
      <c r="CR15" s="145"/>
      <c r="CS15" s="145"/>
      <c r="CT15" s="141"/>
      <c r="CU15" s="141"/>
      <c r="CV15" s="141"/>
      <c r="CW15" s="141"/>
      <c r="CX15" s="141"/>
      <c r="CY15" s="146"/>
      <c r="CZ15" s="144"/>
      <c r="DA15" s="145"/>
      <c r="DB15" s="145"/>
      <c r="DC15" s="145"/>
      <c r="DD15" s="145"/>
      <c r="DE15" s="145"/>
      <c r="DF15" s="141"/>
      <c r="DG15" s="141"/>
      <c r="DH15" s="141"/>
      <c r="DI15" s="141"/>
      <c r="DJ15" s="141"/>
      <c r="DK15" s="146"/>
      <c r="DL15" s="144"/>
      <c r="DM15" s="145"/>
      <c r="DN15" s="145"/>
      <c r="DO15" s="145"/>
      <c r="DP15" s="145"/>
      <c r="DQ15" s="145"/>
      <c r="DR15" s="141"/>
      <c r="DS15" s="141"/>
      <c r="DT15" s="141"/>
      <c r="DU15" s="141"/>
      <c r="DV15" s="141"/>
      <c r="DW15" s="146"/>
      <c r="DX15" s="147"/>
      <c r="DY15" s="148"/>
      <c r="DZ15" s="148"/>
      <c r="EA15" s="148"/>
      <c r="EB15" s="148"/>
      <c r="EC15" s="148"/>
      <c r="ED15" s="149"/>
      <c r="EE15" s="149"/>
      <c r="EF15" s="149"/>
      <c r="EG15" s="149"/>
      <c r="EH15" s="149"/>
      <c r="EI15" s="150"/>
      <c r="EJ15" s="151" t="str">
        <f>UPPER(Contribute&amp;CHAR(10)&amp;"mo")</f>
        <v>CONTRIB.
MO</v>
      </c>
      <c r="EK15" s="152" t="str">
        <f>UPPER(Assigned&amp;CHAR(10)&amp;"mo"&amp;" - CL")</f>
        <v>ASSIGNÉ
MO - CL</v>
      </c>
      <c r="EL15" s="152" t="str">
        <f>UPPER(Status&amp;CHAR(10)&amp;"mo"&amp;" - CL")</f>
        <v>STATUT
MO - CL</v>
      </c>
      <c r="EM15" s="152" t="str">
        <f>UPPER(Comment&amp;CHAR(10)&amp;"mo"&amp;" - CL")</f>
        <v>COMMENT.
MO - CL</v>
      </c>
      <c r="EN15" s="152" t="str">
        <f>UPPER(Attachment&amp;CHAR(10)&amp;"mo"&amp;" - CL")</f>
        <v>PIÈCE J.
MO - CL</v>
      </c>
      <c r="EO15" s="152" t="str">
        <f>UPPER(Annotation&amp;CHAR(10)&amp;"mo"&amp;" - CL")</f>
        <v>ANNOTATION
MO - CL</v>
      </c>
      <c r="EP15" s="153" t="str">
        <f>UPPER(Deadline&amp;CHAR(10)&amp;"mo"&amp;" - CL")</f>
        <v>ÉCHÉANCE
MO - CL</v>
      </c>
      <c r="EQ15" s="153" t="str">
        <f>UPPER(ApprovalDate&amp;CHAR(10)&amp;"mo"&amp;" - CL")</f>
        <v>DATE APPROB.
MO - CL</v>
      </c>
      <c r="ER15" s="153" t="str">
        <f>UPPER(Status&amp;CHAR(10)&amp;"mo")</f>
        <v>STATUT
MO</v>
      </c>
      <c r="ES15" s="153" t="str">
        <f>UPPER(ApprovalDate&amp;CHAR(10)&amp;"mo")</f>
        <v>DATE APPROB.
MO</v>
      </c>
      <c r="ET15" s="153" t="str">
        <f>UPPER("Workflow Status")</f>
        <v>WORKFLOW STATUS</v>
      </c>
      <c r="EU15" s="154" t="str">
        <f>UPPER(Delay&amp;CHAR(10)&amp;"Approb "&amp;CHAR(10)&amp;"mo")</f>
        <v>DÉLAI
APPROB 
MO</v>
      </c>
      <c r="EV15" s="19"/>
      <c r="EW15" s="19" t="s">
        <v>13</v>
      </c>
      <c r="EX15" s="19" t="s">
        <v>14</v>
      </c>
      <c r="EY15" s="19" t="s">
        <v>110</v>
      </c>
      <c r="EZ15" s="185"/>
    </row>
    <row r="16" spans="1:163" s="52" customFormat="1" ht="15" customHeight="1" thickBot="1" x14ac:dyDescent="0.25">
      <c r="A16" s="59"/>
      <c r="B16" s="74" t="s">
        <v>159</v>
      </c>
      <c r="C16" s="75" t="s">
        <v>126</v>
      </c>
      <c r="D16" s="75" t="s">
        <v>127</v>
      </c>
      <c r="E16" s="114">
        <v>1</v>
      </c>
      <c r="F16" s="113" t="s">
        <v>56</v>
      </c>
      <c r="G16" s="75" t="s">
        <v>152</v>
      </c>
      <c r="H16" s="75"/>
      <c r="I16" s="76"/>
      <c r="J16" s="75"/>
      <c r="K16" s="75" t="s">
        <v>132</v>
      </c>
      <c r="L16" s="76" t="s">
        <v>133</v>
      </c>
      <c r="M16" s="75" t="s">
        <v>133</v>
      </c>
      <c r="N16" s="75"/>
      <c r="O16" s="76"/>
      <c r="P16" s="135" t="s">
        <v>157</v>
      </c>
      <c r="Q16" s="135" t="s">
        <v>136</v>
      </c>
      <c r="R16" s="135" t="s">
        <v>136</v>
      </c>
      <c r="S16" s="77" t="s">
        <v>153</v>
      </c>
      <c r="T16" s="77"/>
      <c r="U16" s="78" t="str">
        <f>HYPERLINK(V16,Link)</f>
        <v>Lien</v>
      </c>
      <c r="V16" s="79"/>
      <c r="W16" s="80">
        <v>44893.968743634257</v>
      </c>
      <c r="X16" s="81">
        <v>10</v>
      </c>
      <c r="Y16" s="81">
        <v>5</v>
      </c>
      <c r="Z16" s="82">
        <f>WORKDAY(W16,X16+Y16)</f>
        <v>44914</v>
      </c>
      <c r="AA16" s="81"/>
      <c r="AB16" s="81" t="s">
        <v>144</v>
      </c>
      <c r="AC16" s="81" t="s">
        <v>141</v>
      </c>
      <c r="AD16" s="83" t="str">
        <f>IFERROR(IF(AC16="Current",Current,Previous)&amp;" - ","")&amp;IFERROR(IF(AND(AB16="POSITIVE"),"APPROUVÉ",IF(AB16="NONE","EN COURS - "&amp;AA16,IF(AB16="NEGATIVE","REFUSÉ",IF(AB16="ABORTED","ARRETÉ","")))),"")</f>
        <v>En vigueur - REFUSÉ</v>
      </c>
      <c r="AE16" s="84">
        <f>IF(OR(AB16="POSITIVE",AB16="NEGATIVE"),MAX(AO16,BA16,BM16,BY16,CK16,CW16,DI16,DU16,ES16),"")</f>
        <v>44893.971676122688</v>
      </c>
      <c r="AF16" s="85" t="str">
        <f>IF(AG16&lt;&gt;"","X","")</f>
        <v/>
      </c>
      <c r="AG16" s="86"/>
      <c r="AH16" s="86"/>
      <c r="AI16" s="86"/>
      <c r="AJ16" s="132"/>
      <c r="AK16" s="132"/>
      <c r="AL16" s="87"/>
      <c r="AM16" s="87"/>
      <c r="AN16" s="86">
        <f>IF(AND(AG16&lt;&gt;"",AH16=""),IF($U16="NONE",IF(AL16&lt;&gt;"","To do","To come"),""),AH16)</f>
        <v>0</v>
      </c>
      <c r="AO16" s="87" t="str">
        <f>IF(AM16&lt;&gt;"",AM16,"")</f>
        <v/>
      </c>
      <c r="AP16" s="131" t="s">
        <v>144</v>
      </c>
      <c r="AQ16" s="88" t="str">
        <f>IF(AG16="","",IF(AND(AP16="NONE",AL16=""),Config!$B$6,IF(AH16&lt;&gt;"",IF(AL16-AM16&gt;0,_xlfn.DAYS(AL16,AM16)&amp;Config!$B$2,_xlfn.DAYS(AM16,AL16)&amp;Config!$B$4),IF(AL16-REFERENCE_DATE&gt;0,_xlfn.DAYS(AL16,REFERENCE_DATE)&amp;Config!$B$3,IF(AP16="NONE",_xlfn.DAYS(REFERENCE_DATE,AL16)&amp;Config!$B$5,"")))))</f>
        <v/>
      </c>
      <c r="AR16" s="85" t="str">
        <f>IF(AS16&lt;&gt;"","X","")</f>
        <v>X</v>
      </c>
      <c r="AS16" s="86" t="s">
        <v>155</v>
      </c>
      <c r="AT16" s="86" t="s">
        <v>56</v>
      </c>
      <c r="AU16" s="86"/>
      <c r="AV16" s="132">
        <v>0</v>
      </c>
      <c r="AW16" s="132">
        <v>0</v>
      </c>
      <c r="AX16" s="87">
        <v>44907.968741851852</v>
      </c>
      <c r="AY16" s="86">
        <v>44893.971676122688</v>
      </c>
      <c r="AZ16" s="86" t="str">
        <f>IF(AND(AS16&lt;&gt;"",AT16=""),IF($U16="NONE",IF(AX16&lt;&gt;"","To do","To come"),""),AT16)</f>
        <v>A</v>
      </c>
      <c r="BA16" s="87">
        <f>IF(AY16&lt;&gt;"",AY16,"")</f>
        <v>44893.971676122688</v>
      </c>
      <c r="BB16" s="131" t="s">
        <v>144</v>
      </c>
      <c r="BC16" s="88" t="str">
        <f>IF(AS16="","",IF(AND(BB16="NONE",AX16=""),Config!$B$6,IF(AT16&lt;&gt;"",IF(AX16-AY16&gt;0,_xlfn.DAYS(AX16,AY16)&amp;Config!$B$2,_xlfn.DAYS(AY16,AX16)&amp;Config!$B$4),IF(AX16-REFERENCE_DATE&gt;0,_xlfn.DAYS(AX16,REFERENCE_DATE)&amp;Config!$B$3,IF(BB16="NONE",_xlfn.DAYS(REFERENCE_DATE,AX16)&amp;Config!$B$5,"")))))</f>
        <v>14j avant</v>
      </c>
      <c r="BD16" s="85" t="str">
        <f>IF(BE16&lt;&gt;"","X","")</f>
        <v/>
      </c>
      <c r="BE16" s="86"/>
      <c r="BF16" s="86"/>
      <c r="BG16" s="86"/>
      <c r="BH16" s="132"/>
      <c r="BI16" s="132"/>
      <c r="BJ16" s="87"/>
      <c r="BK16" s="86"/>
      <c r="BL16" s="86">
        <f>IF(AND(BE16&lt;&gt;"",BF16=""),IF($U16="NONE",IF(BJ16&lt;&gt;"","To do","To come"),""),BF16)</f>
        <v>0</v>
      </c>
      <c r="BM16" s="87" t="str">
        <f>IF(BK16&lt;&gt;"",BK16,"")</f>
        <v/>
      </c>
      <c r="BN16" s="131" t="s">
        <v>144</v>
      </c>
      <c r="BO16" s="88" t="str">
        <f>IF(BE16="","",IF(AND(BN16="NONE",BJ16=""),Config!$B$6,IF(BF16&lt;&gt;"",IF(BJ16-BK16&gt;0,_xlfn.DAYS(BJ16,BK16)&amp;Config!$B$2,_xlfn.DAYS(BK16,BJ16)&amp;Config!$B$4),IF(BJ16-REFERENCE_DATE&gt;0,_xlfn.DAYS(BJ16,REFERENCE_DATE)&amp;Config!$B$3,IF(BN16="NONE",_xlfn.DAYS(REFERENCE_DATE,BJ16)&amp;Config!$B$5,"")))))</f>
        <v/>
      </c>
      <c r="BP16" s="85" t="str">
        <f>IF(BQ16&lt;&gt;"","X","")</f>
        <v/>
      </c>
      <c r="BQ16" s="86"/>
      <c r="BR16" s="86"/>
      <c r="BS16" s="86"/>
      <c r="BT16" s="132"/>
      <c r="BU16" s="132"/>
      <c r="BV16" s="87"/>
      <c r="BW16" s="86"/>
      <c r="BX16" s="86">
        <f>IF(AND(BQ16&lt;&gt;"",BR16=""),IF($U16="NONE",IF(BV16&lt;&gt;"","To do","To come"),""),BR16)</f>
        <v>0</v>
      </c>
      <c r="BY16" s="87" t="str">
        <f>IF(BW16&lt;&gt;"",BW16,"")</f>
        <v/>
      </c>
      <c r="BZ16" s="131" t="s">
        <v>144</v>
      </c>
      <c r="CA16" s="88" t="str">
        <f>IF(BQ16="","",IF(AND(BZ16="NONE",BV16=""),Config!$B$6,IF(BR16&lt;&gt;"",IF(BV16-BW16&gt;0,_xlfn.DAYS(BV16,BW16)&amp;Config!$B$2,_xlfn.DAYS(BW16,BV16)&amp;Config!$B$4),IF(BV16-REFERENCE_DATE&gt;0,_xlfn.DAYS(BV16,REFERENCE_DATE)&amp;Config!$B$3,IF(BZ16="NONE",_xlfn.DAYS(REFERENCE_DATE,BV16)&amp;Config!$B$5,"")))))</f>
        <v/>
      </c>
      <c r="CB16" s="85"/>
      <c r="CC16" s="86"/>
      <c r="CD16" s="86"/>
      <c r="CE16" s="86"/>
      <c r="CF16" s="132"/>
      <c r="CG16" s="132"/>
      <c r="CH16" s="87"/>
      <c r="CI16" s="87"/>
      <c r="CJ16" s="86"/>
      <c r="CK16" s="87"/>
      <c r="CL16" s="131"/>
      <c r="CM16" s="88"/>
      <c r="CN16" s="85"/>
      <c r="CO16" s="86"/>
      <c r="CP16" s="86"/>
      <c r="CQ16" s="86"/>
      <c r="CR16" s="132"/>
      <c r="CS16" s="132"/>
      <c r="CT16" s="87"/>
      <c r="CU16" s="87"/>
      <c r="CV16" s="86"/>
      <c r="CW16" s="87"/>
      <c r="CX16" s="131"/>
      <c r="CY16" s="88"/>
      <c r="CZ16" s="85"/>
      <c r="DA16" s="86"/>
      <c r="DB16" s="86"/>
      <c r="DC16" s="86"/>
      <c r="DD16" s="132"/>
      <c r="DE16" s="132"/>
      <c r="DF16" s="87"/>
      <c r="DG16" s="87"/>
      <c r="DH16" s="86"/>
      <c r="DI16" s="87"/>
      <c r="DJ16" s="131"/>
      <c r="DK16" s="88"/>
      <c r="DL16" s="85"/>
      <c r="DM16" s="86"/>
      <c r="DN16" s="86"/>
      <c r="DO16" s="86"/>
      <c r="DP16" s="132"/>
      <c r="DQ16" s="132"/>
      <c r="DR16" s="87"/>
      <c r="DS16" s="87"/>
      <c r="DT16" s="86"/>
      <c r="DU16" s="87"/>
      <c r="DV16" s="131"/>
      <c r="DW16" s="88"/>
      <c r="DX16" s="85"/>
      <c r="DY16" s="86"/>
      <c r="DZ16" s="86"/>
      <c r="EA16" s="86"/>
      <c r="EB16" s="132"/>
      <c r="EC16" s="132"/>
      <c r="ED16" s="87"/>
      <c r="EE16" s="87"/>
      <c r="EF16" s="86"/>
      <c r="EG16" s="87"/>
      <c r="EH16" s="131"/>
      <c r="EI16" s="88"/>
      <c r="EJ16" s="85" t="str">
        <f>IF(EK16&lt;&gt;"","X","")</f>
        <v>X</v>
      </c>
      <c r="EK16" s="86" t="s">
        <v>155</v>
      </c>
      <c r="EL16" s="86"/>
      <c r="EM16" s="86"/>
      <c r="EN16" s="132"/>
      <c r="EO16" s="132"/>
      <c r="EP16" s="87"/>
      <c r="EQ16" s="87"/>
      <c r="ER16" s="86" t="str">
        <f>IF(AND(EK16&lt;&gt;"",EL16=""),IF($U16="NONE",IF(EP16&lt;&gt;"","To do","To come"),""),EL16)</f>
        <v/>
      </c>
      <c r="ES16" s="87" t="str">
        <f>IF(EQ16&lt;&gt;"",EQ16,"")</f>
        <v/>
      </c>
      <c r="ET16" s="131" t="s">
        <v>144</v>
      </c>
      <c r="EU16" s="88" t="str">
        <f>IF(EK16="","",IF(AND(ET16="NONE",EP16=""),Config!$B$6,IF(EL16&lt;&gt;"",IF(EP16-EQ16&gt;0,_xlfn.DAYS(EP16,EQ16)&amp;Config!$B$2,_xlfn.DAYS(EQ16,EP16)&amp;Config!$B$4),IF(EP16-REFERENCE_DATE&gt;0,_xlfn.DAYS(EP16,REFERENCE_DATE)&amp;Config!$B$3,IF(ET16="NONE",_xlfn.DAYS(REFERENCE_DATE,EP16)&amp;Config!$B$5,"")))))</f>
        <v/>
      </c>
      <c r="EV16" s="61"/>
      <c r="EW16" s="23">
        <f>COUNTA(EM16,EA16,DO16,DC16,CQ16,CE16,BS16,BG16,AU16,AI16)</f>
        <v>0</v>
      </c>
      <c r="EX16" s="134">
        <f t="shared" ref="EX16:EY19" si="0">SUM(AJ16,AV16,BH16,BT16,CF16,CR16,DD16,DP16,EB16,EN16)</f>
        <v>0</v>
      </c>
      <c r="EY16" s="134">
        <f t="shared" si="0"/>
        <v>0</v>
      </c>
      <c r="EZ16" s="137" t="str">
        <f>IF(EW16&lt;&gt;0,EW16&amp;" commentaires(s) - ","")&amp;IF(EX16&lt;&gt;0,EX16&amp;" pièce(s) jointe(s) - ","")&amp;IF(EY16&lt;&gt;0,EY16&amp;" annotation(s) - ","")&amp;IF(OR(EW16&lt;&gt;0,EX16&lt;&gt;0,EY16&lt;&gt;0),"⤵️"&amp;CHAR(10),"")&amp;CHAR(10)&amp;
IF(AND(EJ16&lt;&gt;""),"["&amp;$EU$13&amp;"] "&amp;EN16&amp;" attachment(s) - "&amp;EO16&amp;" annotation(s) - "&amp;EM16&amp;CHAR(10),"")&amp;
IF(AND(DL16&lt;&gt;""),"["&amp;$DW$13&amp;"] "&amp;DP16&amp;" attachment(s) - "&amp;DQ16&amp;" annotation(s) - "&amp;DO16&amp;CHAR(10),"")&amp;
IF(AND(CZ16&lt;&gt;""),"["&amp;$DK$13&amp;"] "&amp;DD16&amp;" attachment(s) - "&amp;DE16&amp;" annotation(s) - "&amp;DC16&amp;CHAR(10),"")&amp;
IF(AND(CN16&lt;&gt;""),"["&amp;$CY$13&amp;"] "&amp;CR16&amp;" attachment(s) - "&amp;CS16&amp;" annotation(s) - "&amp;CQ16&amp;CHAR(10),"")&amp;
IF(AND(CB16&lt;&gt;""),"["&amp;$CM$13&amp;"] "&amp;CF16&amp;" attachment(s) - "&amp;CG16&amp;" annotation(s) - "&amp;CE16&amp;CHAR(10),"")&amp;
IF(AND(BP16&lt;&gt;""),"["&amp;$CA$13&amp;"] "&amp;BT16&amp;" attachment(s) - "&amp;BU16&amp;" annotation(s) - "&amp;BS16&amp;CHAR(10),"")&amp;
IF(AND(BD16&lt;&gt;""),"["&amp;$BO$13&amp;"] "&amp;BH16&amp;" attachment(s) - "&amp;BI16&amp;" annotation(s) - "&amp;BG16&amp;CHAR(10),"")&amp;
IF(AND(AR16&lt;&gt;""),"["&amp;$BC$13&amp;"] "&amp;AV16&amp;" attachment(s) - "&amp;AW16&amp;" annotation(s) - "&amp;AU16&amp;CHAR(10),"")&amp;
IF(AND(AF16&lt;&gt;""),"["&amp;$AQ$13&amp;"] "&amp;AJ16&amp;" attachment(s) - "&amp;AK16&amp;" annotation(s) - "&amp;AI16&amp;CHAR(10),"")&amp;
IF(AND(DX16&lt;&gt;""),"["&amp;$EI$13&amp;"] "&amp;EB16&amp;" attachment(s) - "&amp;EC16&amp;" annotation(s) - "&amp;EA16&amp;CHAR(10),"")</f>
        <v xml:space="preserve">
[MO]  attachment(s) -  annotation(s) - 
[STAB/TS] 0 attachment(s) - 0 annotation(s) - 
</v>
      </c>
    </row>
    <row r="17" spans="1:156" ht="15" customHeight="1" x14ac:dyDescent="0.2">
      <c r="A17" s="59"/>
      <c r="B17" s="74" t="s">
        <v>159</v>
      </c>
      <c r="C17" s="75" t="s">
        <v>126</v>
      </c>
      <c r="D17" s="75" t="s">
        <v>127</v>
      </c>
      <c r="E17" s="114">
        <v>1</v>
      </c>
      <c r="F17" s="113" t="s">
        <v>56</v>
      </c>
      <c r="G17" s="75" t="s">
        <v>128</v>
      </c>
      <c r="H17" s="75" t="s">
        <v>129</v>
      </c>
      <c r="I17" s="76" t="s">
        <v>130</v>
      </c>
      <c r="J17" s="75" t="s">
        <v>131</v>
      </c>
      <c r="K17" s="75" t="s">
        <v>132</v>
      </c>
      <c r="L17" s="76" t="s">
        <v>133</v>
      </c>
      <c r="M17" s="75" t="s">
        <v>133</v>
      </c>
      <c r="N17" s="75" t="s">
        <v>134</v>
      </c>
      <c r="O17" s="76" t="s">
        <v>135</v>
      </c>
      <c r="P17" s="135" t="s">
        <v>156</v>
      </c>
      <c r="Q17" s="135" t="s">
        <v>136</v>
      </c>
      <c r="R17" s="135" t="s">
        <v>136</v>
      </c>
      <c r="S17" s="77" t="s">
        <v>137</v>
      </c>
      <c r="T17" s="77" t="s">
        <v>138</v>
      </c>
      <c r="U17" s="78" t="str">
        <f>HYPERLINK(V17,Link)</f>
        <v>Lien</v>
      </c>
      <c r="V17" s="79"/>
      <c r="W17" s="80">
        <v>44893.925346018521</v>
      </c>
      <c r="X17" s="81">
        <v>10</v>
      </c>
      <c r="Y17" s="81">
        <v>5</v>
      </c>
      <c r="Z17" s="82">
        <f>WORKDAY(W17,X17+Y17)</f>
        <v>44914</v>
      </c>
      <c r="AA17" s="81" t="s">
        <v>139</v>
      </c>
      <c r="AB17" s="81" t="s">
        <v>140</v>
      </c>
      <c r="AC17" s="81" t="s">
        <v>141</v>
      </c>
      <c r="AD17" s="83" t="str">
        <f>IFERROR(IF(AC17="Current",Current,Previous)&amp;" - ","")&amp;IFERROR(IF(AND(AB17="POSITIVE"),"APPROUVÉ",IF(AB17="NONE","EN COURS - "&amp;AA17,IF(AB17="NEGATIVE","REFUSÉ",IF(AB17="ABORTED","ARRETÉ","")))),"")</f>
        <v>En vigueur - EN COURS - Validation Conseil</v>
      </c>
      <c r="AE17" s="84" t="str">
        <f>IF(OR(AB17="POSITIVE",AB17="NEGATIVE"),MAX(AO17,BA17,BM17,BY17,CK17,CW17,DI17,DU17,ES17),"")</f>
        <v/>
      </c>
      <c r="AF17" s="85" t="str">
        <f>IF(AG17&lt;&gt;"","X","")</f>
        <v>X</v>
      </c>
      <c r="AG17" s="86" t="s">
        <v>142</v>
      </c>
      <c r="AH17" s="86" t="s">
        <v>58</v>
      </c>
      <c r="AI17" s="86" t="s">
        <v>143</v>
      </c>
      <c r="AJ17" s="132">
        <v>0</v>
      </c>
      <c r="AK17" s="132">
        <v>1</v>
      </c>
      <c r="AL17" s="87">
        <v>44907.92534616898</v>
      </c>
      <c r="AM17" s="87">
        <v>44893.937196030092</v>
      </c>
      <c r="AN17" s="86" t="str">
        <f>IF(AND(AG17&lt;&gt;"",AH17=""),IF($U17="NONE",IF(AL17&lt;&gt;"","To do","To come"),""),AH17)</f>
        <v>C</v>
      </c>
      <c r="AO17" s="87">
        <f>IF(AM17&lt;&gt;"",AM17,"")</f>
        <v>44893.937196030092</v>
      </c>
      <c r="AP17" s="131" t="s">
        <v>140</v>
      </c>
      <c r="AQ17" s="88" t="str">
        <f>IF(AG17="","",IF(AND(AP17="NONE",AL17=""),Config!$B$6,IF(AH17&lt;&gt;"",IF(AL17-AM17&gt;0,_xlfn.DAYS(AL17,AM17)&amp;Config!$B$2,_xlfn.DAYS(AM17,AL17)&amp;Config!$B$4),IF(AL17-REFERENCE_DATE&gt;0,_xlfn.DAYS(AL17,REFERENCE_DATE)&amp;Config!$B$3,IF(AP17="NONE",_xlfn.DAYS(REFERENCE_DATE,AL17)&amp;Config!$B$5,"")))))</f>
        <v>14j avant</v>
      </c>
      <c r="AR17" s="85" t="str">
        <f>IF(AS17&lt;&gt;"","X","")</f>
        <v>X</v>
      </c>
      <c r="AS17" s="86" t="s">
        <v>142</v>
      </c>
      <c r="AT17" s="86"/>
      <c r="AU17" s="86"/>
      <c r="AV17" s="132">
        <v>0</v>
      </c>
      <c r="AW17" s="132">
        <v>0</v>
      </c>
      <c r="AX17" s="87">
        <v>44907.925347835648</v>
      </c>
      <c r="AY17" s="86"/>
      <c r="AZ17" s="86" t="str">
        <f>IF(AND(AS17&lt;&gt;"",AT17=""),IF($U17="NONE",IF(AX17&lt;&gt;"","To do","To come"),""),AT17)</f>
        <v/>
      </c>
      <c r="BA17" s="87" t="str">
        <f>IF(AY17&lt;&gt;"",AY17,"")</f>
        <v/>
      </c>
      <c r="BB17" s="131" t="s">
        <v>140</v>
      </c>
      <c r="BC17" s="88" t="str">
        <f>IF(AS17="","",IF(AND(BB17="NONE",AX17=""),Config!$B$6,IF(AT17&lt;&gt;"",IF(AX17-AY17&gt;0,_xlfn.DAYS(AX17,AY17)&amp;Config!$B$2,_xlfn.DAYS(AY17,AX17)&amp;Config!$B$4),IF(AX17-REFERENCE_DATE&gt;0,_xlfn.DAYS(AX17,REFERENCE_DATE)&amp;Config!$B$3,IF(BB17="NONE",_xlfn.DAYS(REFERENCE_DATE,AX17)&amp;Config!$B$5,"")))))</f>
        <v>7j restant</v>
      </c>
      <c r="BD17" s="85" t="str">
        <f>IF(BE17&lt;&gt;"","X","")</f>
        <v/>
      </c>
      <c r="BE17" s="86"/>
      <c r="BF17" s="86"/>
      <c r="BG17" s="86"/>
      <c r="BH17" s="132"/>
      <c r="BI17" s="132"/>
      <c r="BJ17" s="87"/>
      <c r="BK17" s="86"/>
      <c r="BL17" s="86">
        <f>IF(AND(BE17&lt;&gt;"",BF17=""),IF($U17="NONE",IF(BJ17&lt;&gt;"","To do","To come"),""),BF17)</f>
        <v>0</v>
      </c>
      <c r="BM17" s="87" t="str">
        <f>IF(BK17&lt;&gt;"",BK17,"")</f>
        <v/>
      </c>
      <c r="BN17" s="131" t="s">
        <v>140</v>
      </c>
      <c r="BO17" s="88" t="str">
        <f>IF(BE17="","",IF(AND(BN17="NONE",BJ17=""),Config!$B$6,IF(BF17&lt;&gt;"",IF(BJ17-BK17&gt;0,_xlfn.DAYS(BJ17,BK17)&amp;Config!$B$2,_xlfn.DAYS(BK17,BJ17)&amp;Config!$B$4),IF(BJ17-REFERENCE_DATE&gt;0,_xlfn.DAYS(BJ17,REFERENCE_DATE)&amp;Config!$B$3,IF(BN17="NONE",_xlfn.DAYS(REFERENCE_DATE,BJ17)&amp;Config!$B$5,"")))))</f>
        <v/>
      </c>
      <c r="BP17" s="85" t="str">
        <f>IF(BQ17&lt;&gt;"","X","")</f>
        <v/>
      </c>
      <c r="BQ17" s="86"/>
      <c r="BR17" s="86"/>
      <c r="BS17" s="86"/>
      <c r="BT17" s="132"/>
      <c r="BU17" s="132"/>
      <c r="BV17" s="87"/>
      <c r="BW17" s="86"/>
      <c r="BX17" s="86">
        <f>IF(AND(BQ17&lt;&gt;"",BR17=""),IF($U17="NONE",IF(BV17&lt;&gt;"","To do","To come"),""),BR17)</f>
        <v>0</v>
      </c>
      <c r="BY17" s="87" t="str">
        <f>IF(BW17&lt;&gt;"",BW17,"")</f>
        <v/>
      </c>
      <c r="BZ17" s="131" t="s">
        <v>140</v>
      </c>
      <c r="CA17" s="88" t="str">
        <f>IF(BQ17="","",IF(AND(BZ17="NONE",BV17=""),Config!$B$6,IF(BR17&lt;&gt;"",IF(BV17-BW17&gt;0,_xlfn.DAYS(BV17,BW17)&amp;Config!$B$2,_xlfn.DAYS(BW17,BV17)&amp;Config!$B$4),IF(BV17-REFERENCE_DATE&gt;0,_xlfn.DAYS(BV17,REFERENCE_DATE)&amp;Config!$B$3,IF(BZ17="NONE",_xlfn.DAYS(REFERENCE_DATE,BV17)&amp;Config!$B$5,"")))))</f>
        <v/>
      </c>
      <c r="CB17" s="85"/>
      <c r="CC17" s="86"/>
      <c r="CD17" s="86"/>
      <c r="CE17" s="86"/>
      <c r="CF17" s="132"/>
      <c r="CG17" s="132"/>
      <c r="CH17" s="87"/>
      <c r="CI17" s="87"/>
      <c r="CJ17" s="86"/>
      <c r="CK17" s="87"/>
      <c r="CL17" s="131"/>
      <c r="CM17" s="88"/>
      <c r="CN17" s="85"/>
      <c r="CO17" s="86"/>
      <c r="CP17" s="86"/>
      <c r="CQ17" s="86"/>
      <c r="CR17" s="132"/>
      <c r="CS17" s="132"/>
      <c r="CT17" s="87"/>
      <c r="CU17" s="87"/>
      <c r="CV17" s="86"/>
      <c r="CW17" s="87"/>
      <c r="CX17" s="131"/>
      <c r="CY17" s="88"/>
      <c r="CZ17" s="85"/>
      <c r="DA17" s="86"/>
      <c r="DB17" s="86"/>
      <c r="DC17" s="86"/>
      <c r="DD17" s="132"/>
      <c r="DE17" s="132"/>
      <c r="DF17" s="87"/>
      <c r="DG17" s="87"/>
      <c r="DH17" s="86"/>
      <c r="DI17" s="87"/>
      <c r="DJ17" s="131"/>
      <c r="DK17" s="88"/>
      <c r="DL17" s="85"/>
      <c r="DM17" s="86"/>
      <c r="DN17" s="86"/>
      <c r="DO17" s="86"/>
      <c r="DP17" s="132"/>
      <c r="DQ17" s="132"/>
      <c r="DR17" s="87"/>
      <c r="DS17" s="87"/>
      <c r="DT17" s="86"/>
      <c r="DU17" s="87"/>
      <c r="DV17" s="131"/>
      <c r="DW17" s="88"/>
      <c r="DX17" s="85"/>
      <c r="DY17" s="86"/>
      <c r="DZ17" s="86"/>
      <c r="EA17" s="86"/>
      <c r="EB17" s="132"/>
      <c r="EC17" s="132"/>
      <c r="ED17" s="87"/>
      <c r="EE17" s="87"/>
      <c r="EF17" s="86"/>
      <c r="EG17" s="87"/>
      <c r="EH17" s="131"/>
      <c r="EI17" s="88"/>
      <c r="EJ17" s="85" t="str">
        <f>IF(EK17&lt;&gt;"","X","")</f>
        <v>X</v>
      </c>
      <c r="EK17" s="86" t="s">
        <v>142</v>
      </c>
      <c r="EL17" s="86"/>
      <c r="EM17" s="86"/>
      <c r="EN17" s="132"/>
      <c r="EO17" s="132"/>
      <c r="EP17" s="87"/>
      <c r="EQ17" s="87"/>
      <c r="ER17" s="86" t="str">
        <f>IF(AND(EK17&lt;&gt;"",EL17=""),IF($U17="NONE",IF(EP17&lt;&gt;"","To do","To come"),""),EL17)</f>
        <v/>
      </c>
      <c r="ES17" s="87" t="str">
        <f>IF(EQ17&lt;&gt;"",EQ17,"")</f>
        <v/>
      </c>
      <c r="ET17" s="131" t="s">
        <v>140</v>
      </c>
      <c r="EU17" s="88" t="str">
        <f>IF(EK17="","",IF(AND(ET17="NONE",EP17=""),Config!$B$6,IF(EL17&lt;&gt;"",IF(EP17-EQ17&gt;0,_xlfn.DAYS(EP17,EQ17)&amp;Config!$B$2,_xlfn.DAYS(EQ17,EP17)&amp;Config!$B$4),IF(EP17-REFERENCE_DATE&gt;0,_xlfn.DAYS(EP17,REFERENCE_DATE)&amp;Config!$B$3,IF(ET17="NONE",_xlfn.DAYS(REFERENCE_DATE,EP17)&amp;Config!$B$5,"")))))</f>
        <v>En attente</v>
      </c>
      <c r="EV17" s="61"/>
      <c r="EW17" s="23">
        <f>COUNTA(EM17,EA17,DO17,DC17,CQ17,CE17,BS17,BG17,AU17,AI17)</f>
        <v>1</v>
      </c>
      <c r="EX17" s="134">
        <f t="shared" si="0"/>
        <v>0</v>
      </c>
      <c r="EY17" s="134">
        <f t="shared" si="0"/>
        <v>1</v>
      </c>
      <c r="EZ17" s="137" t="str">
        <f>IF(EW17&lt;&gt;0,EW17&amp;" commentaires(s) - ","")&amp;IF(EX17&lt;&gt;0,EX17&amp;" pièce(s) jointe(s) - ","")&amp;IF(EY17&lt;&gt;0,EY17&amp;" annotation(s) - ","")&amp;IF(OR(EW17&lt;&gt;0,EX17&lt;&gt;0,EY17&lt;&gt;0),"⤵️"&amp;CHAR(10),"")&amp;CHAR(10)&amp;IF(AND(EJ17&lt;&gt;""),"["&amp;$EU$13&amp;"] "&amp;EN17&amp;" attachment(s) - "&amp;EO17&amp;" annotation(s) - "&amp;EM17&amp;CHAR(10),"")&amp;IF(AND(DL17&lt;&gt;""),"["&amp;$DW$13&amp;"] "&amp;DP17&amp;" attachment(s) - "&amp;DQ17&amp;" annotation(s) - "&amp;DO17&amp;CHAR(10),"")&amp;IF(AND(CZ17&lt;&gt;""),"["&amp;$DK$13&amp;"] "&amp;DD17&amp;" attachment(s) - "&amp;DE17&amp;" annotation(s) - "&amp;DC17&amp;CHAR(10),"")&amp;IF(AND(CN17&lt;&gt;""),"["&amp;$CY$13&amp;"] "&amp;CR17&amp;" attachment(s) - "&amp;CS17&amp;" annotation(s) - "&amp;CQ17&amp;CHAR(10),"")&amp;IF(AND(CB17&lt;&gt;""),"["&amp;$CM$13&amp;"] "&amp;CF17&amp;" attachment(s) - "&amp;CG17&amp;" annotation(s) - "&amp;CE17&amp;CHAR(10),"")&amp;IF(AND(BP17&lt;&gt;""),"["&amp;$CA$13&amp;"] "&amp;BT17&amp;" attachment(s) - "&amp;BU17&amp;" annotation(s) - "&amp;BS17&amp;CHAR(10),"")&amp;IF(AND(BD17&lt;&gt;""),"["&amp;$BO$13&amp;"] "&amp;BH17&amp;" attachment(s) - "&amp;BI17&amp;" annotation(s) - "&amp;BG17&amp;CHAR(10),"")&amp;IF(AND(AR17&lt;&gt;""),"["&amp;$BC$13&amp;"] "&amp;AV17&amp;" attachment(s) - "&amp;AW17&amp;" annotation(s) - "&amp;AU17&amp;CHAR(10),"")&amp;IF(AND(AF17&lt;&gt;""),"["&amp;$AQ$13&amp;"] "&amp;AJ17&amp;" attachment(s) - "&amp;AK17&amp;" annotation(s) - "&amp;AI17&amp;CHAR(10),"")&amp;IF(AND(DX17&lt;&gt;""),"["&amp;$EI$13&amp;"] "&amp;EB17&amp;" attachment(s) - "&amp;EC17&amp;" annotation(s) - "&amp;EA17&amp;CHAR(10),"")</f>
        <v xml:space="preserve">1 commentaires(s) - 1 annotation(s) - ⤵️
[MO]  attachment(s) -  annotation(s) - 
[STAB/TS] 0 attachment(s) - 0 annotation(s) - 
[AR] 0 attachment(s) - 1 annotation(s) - Test commentaire
</v>
      </c>
    </row>
    <row r="18" spans="1:156" ht="15" customHeight="1" x14ac:dyDescent="0.2">
      <c r="A18" s="59"/>
      <c r="B18" s="74" t="s">
        <v>159</v>
      </c>
      <c r="C18" s="75" t="s">
        <v>126</v>
      </c>
      <c r="D18" s="75" t="s">
        <v>127</v>
      </c>
      <c r="E18" s="114">
        <v>1</v>
      </c>
      <c r="F18" s="113" t="s">
        <v>56</v>
      </c>
      <c r="G18" s="75" t="s">
        <v>128</v>
      </c>
      <c r="H18" s="75" t="s">
        <v>129</v>
      </c>
      <c r="I18" s="76" t="s">
        <v>130</v>
      </c>
      <c r="J18" s="75" t="s">
        <v>131</v>
      </c>
      <c r="K18" s="75" t="s">
        <v>132</v>
      </c>
      <c r="L18" s="76" t="s">
        <v>133</v>
      </c>
      <c r="M18" s="75" t="s">
        <v>133</v>
      </c>
      <c r="N18" s="75" t="s">
        <v>134</v>
      </c>
      <c r="O18" s="76" t="s">
        <v>135</v>
      </c>
      <c r="P18" s="135" t="s">
        <v>156</v>
      </c>
      <c r="Q18" s="135" t="s">
        <v>136</v>
      </c>
      <c r="R18" s="135" t="s">
        <v>136</v>
      </c>
      <c r="S18" s="77" t="s">
        <v>137</v>
      </c>
      <c r="T18" s="77" t="s">
        <v>138</v>
      </c>
      <c r="U18" s="78" t="str">
        <f>HYPERLINK(V18,Link)</f>
        <v>Lien</v>
      </c>
      <c r="V18" s="79"/>
      <c r="W18" s="80">
        <v>44893.843515659719</v>
      </c>
      <c r="X18" s="81">
        <v>10</v>
      </c>
      <c r="Y18" s="81">
        <v>5</v>
      </c>
      <c r="Z18" s="82">
        <f>WORKDAY(W18,X18+Y18)</f>
        <v>44914</v>
      </c>
      <c r="AA18" s="81"/>
      <c r="AB18" s="81" t="s">
        <v>144</v>
      </c>
      <c r="AC18" s="81" t="s">
        <v>145</v>
      </c>
      <c r="AD18" s="83" t="str">
        <f>IFERROR(IF(AC18="Current",Current,Previous)&amp;" - ","")&amp;IFERROR(IF(AND(AB18="POSITIVE"),"APPROUVÉ",IF(AB18="NONE","EN COURS - "&amp;AA18,IF(AB18="NEGATIVE","REFUSÉ",IF(AB18="ABORTED","ARRETÉ","")))),"")</f>
        <v>Obsolète - REFUSÉ</v>
      </c>
      <c r="AE18" s="84">
        <f>IF(OR(AB18="POSITIVE",AB18="NEGATIVE"),MAX(AO18,BA18,BM18,BY18,CK18,CW18,DI18,DU18,ES18),"")</f>
        <v>44893.843960115744</v>
      </c>
      <c r="AF18" s="85" t="str">
        <f>IF(AG18&lt;&gt;"","X","")</f>
        <v>X</v>
      </c>
      <c r="AG18" s="86" t="s">
        <v>142</v>
      </c>
      <c r="AH18" s="86" t="s">
        <v>56</v>
      </c>
      <c r="AI18" s="86"/>
      <c r="AJ18" s="132">
        <v>0</v>
      </c>
      <c r="AK18" s="132">
        <v>0</v>
      </c>
      <c r="AL18" s="87">
        <v>44907.843515810186</v>
      </c>
      <c r="AM18" s="87">
        <v>44893.843796828703</v>
      </c>
      <c r="AN18" s="86" t="str">
        <f>IF(AND(AG18&lt;&gt;"",AH18=""),IF($U18="NONE",IF(AL18&lt;&gt;"","To do","To come"),""),AH18)</f>
        <v>A</v>
      </c>
      <c r="AO18" s="87">
        <f>IF(AM18&lt;&gt;"",AM18,"")</f>
        <v>44893.843796828703</v>
      </c>
      <c r="AP18" s="131" t="s">
        <v>144</v>
      </c>
      <c r="AQ18" s="88" t="str">
        <f>IF(AG18="","",IF(AND(AP18="NONE",AL18=""),Config!$B$6,IF(AH18&lt;&gt;"",IF(AL18-AM18&gt;0,_xlfn.DAYS(AL18,AM18)&amp;Config!$B$2,_xlfn.DAYS(AM18,AL18)&amp;Config!$B$4),IF(AL18-REFERENCE_DATE&gt;0,_xlfn.DAYS(AL18,REFERENCE_DATE)&amp;Config!$B$3,IF(AP18="NONE",_xlfn.DAYS(REFERENCE_DATE,AL18)&amp;Config!$B$5,"")))))</f>
        <v>14j avant</v>
      </c>
      <c r="AR18" s="85" t="str">
        <f>IF(AS18&lt;&gt;"","X","")</f>
        <v/>
      </c>
      <c r="AS18" s="86"/>
      <c r="AT18" s="86"/>
      <c r="AU18" s="86"/>
      <c r="AV18" s="132"/>
      <c r="AW18" s="132"/>
      <c r="AX18" s="87"/>
      <c r="AY18" s="86"/>
      <c r="AZ18" s="86">
        <f>IF(AND(AS18&lt;&gt;"",AT18=""),IF($U18="NONE",IF(AX18&lt;&gt;"","To do","To come"),""),AT18)</f>
        <v>0</v>
      </c>
      <c r="BA18" s="87" t="str">
        <f>IF(AY18&lt;&gt;"",AY18,"")</f>
        <v/>
      </c>
      <c r="BB18" s="131" t="s">
        <v>144</v>
      </c>
      <c r="BC18" s="88" t="str">
        <f>IF(AS18="","",IF(AND(BB18="NONE",AX18=""),Config!$B$6,IF(AT18&lt;&gt;"",IF(AX18-AY18&gt;0,_xlfn.DAYS(AX18,AY18)&amp;Config!$B$2,_xlfn.DAYS(AY18,AX18)&amp;Config!$B$4),IF(AX18-REFERENCE_DATE&gt;0,_xlfn.DAYS(AX18,REFERENCE_DATE)&amp;Config!$B$3,IF(BB18="NONE",_xlfn.DAYS(REFERENCE_DATE,AX18)&amp;Config!$B$5,"")))))</f>
        <v/>
      </c>
      <c r="BD18" s="85" t="str">
        <f>IF(BE18&lt;&gt;"","X","")</f>
        <v/>
      </c>
      <c r="BE18" s="86"/>
      <c r="BF18" s="86"/>
      <c r="BG18" s="86"/>
      <c r="BH18" s="132"/>
      <c r="BI18" s="132"/>
      <c r="BJ18" s="87"/>
      <c r="BK18" s="86"/>
      <c r="BL18" s="86">
        <f>IF(AND(BE18&lt;&gt;"",BF18=""),IF($U18="NONE",IF(BJ18&lt;&gt;"","To do","To come"),""),BF18)</f>
        <v>0</v>
      </c>
      <c r="BM18" s="87" t="str">
        <f>IF(BK18&lt;&gt;"",BK18,"")</f>
        <v/>
      </c>
      <c r="BN18" s="131" t="s">
        <v>144</v>
      </c>
      <c r="BO18" s="88" t="str">
        <f>IF(BE18="","",IF(AND(BN18="NONE",BJ18=""),Config!$B$6,IF(BF18&lt;&gt;"",IF(BJ18-BK18&gt;0,_xlfn.DAYS(BJ18,BK18)&amp;Config!$B$2,_xlfn.DAYS(BK18,BJ18)&amp;Config!$B$4),IF(BJ18-REFERENCE_DATE&gt;0,_xlfn.DAYS(BJ18,REFERENCE_DATE)&amp;Config!$B$3,IF(BN18="NONE",_xlfn.DAYS(REFERENCE_DATE,BJ18)&amp;Config!$B$5,"")))))</f>
        <v/>
      </c>
      <c r="BP18" s="85" t="str">
        <f>IF(BQ18&lt;&gt;"","X","")</f>
        <v/>
      </c>
      <c r="BQ18" s="86"/>
      <c r="BR18" s="86"/>
      <c r="BS18" s="86"/>
      <c r="BT18" s="132"/>
      <c r="BU18" s="132"/>
      <c r="BV18" s="87"/>
      <c r="BW18" s="86"/>
      <c r="BX18" s="86">
        <f>IF(AND(BQ18&lt;&gt;"",BR18=""),IF($U18="NONE",IF(BV18&lt;&gt;"","To do","To come"),""),BR18)</f>
        <v>0</v>
      </c>
      <c r="BY18" s="87" t="str">
        <f>IF(BW18&lt;&gt;"",BW18,"")</f>
        <v/>
      </c>
      <c r="BZ18" s="131" t="s">
        <v>144</v>
      </c>
      <c r="CA18" s="88" t="str">
        <f>IF(BQ18="","",IF(AND(BZ18="NONE",BV18=""),Config!$B$6,IF(BR18&lt;&gt;"",IF(BV18-BW18&gt;0,_xlfn.DAYS(BV18,BW18)&amp;Config!$B$2,_xlfn.DAYS(BW18,BV18)&amp;Config!$B$4),IF(BV18-REFERENCE_DATE&gt;0,_xlfn.DAYS(BV18,REFERENCE_DATE)&amp;Config!$B$3,IF(BZ18="NONE",_xlfn.DAYS(REFERENCE_DATE,BV18)&amp;Config!$B$5,"")))))</f>
        <v/>
      </c>
      <c r="CB18" s="85"/>
      <c r="CC18" s="86"/>
      <c r="CD18" s="86"/>
      <c r="CE18" s="86"/>
      <c r="CF18" s="132"/>
      <c r="CG18" s="132"/>
      <c r="CH18" s="87"/>
      <c r="CI18" s="87"/>
      <c r="CJ18" s="86"/>
      <c r="CK18" s="87"/>
      <c r="CL18" s="131"/>
      <c r="CM18" s="88"/>
      <c r="CN18" s="85"/>
      <c r="CO18" s="86"/>
      <c r="CP18" s="86"/>
      <c r="CQ18" s="86"/>
      <c r="CR18" s="132"/>
      <c r="CS18" s="132"/>
      <c r="CT18" s="87"/>
      <c r="CU18" s="87"/>
      <c r="CV18" s="86"/>
      <c r="CW18" s="87"/>
      <c r="CX18" s="131"/>
      <c r="CY18" s="88"/>
      <c r="CZ18" s="85"/>
      <c r="DA18" s="86"/>
      <c r="DB18" s="86"/>
      <c r="DC18" s="86"/>
      <c r="DD18" s="132"/>
      <c r="DE18" s="132"/>
      <c r="DF18" s="87"/>
      <c r="DG18" s="87"/>
      <c r="DH18" s="86"/>
      <c r="DI18" s="87"/>
      <c r="DJ18" s="131"/>
      <c r="DK18" s="88"/>
      <c r="DL18" s="85"/>
      <c r="DM18" s="86"/>
      <c r="DN18" s="86"/>
      <c r="DO18" s="86"/>
      <c r="DP18" s="132"/>
      <c r="DQ18" s="132"/>
      <c r="DR18" s="87"/>
      <c r="DS18" s="87"/>
      <c r="DT18" s="86"/>
      <c r="DU18" s="87"/>
      <c r="DV18" s="131"/>
      <c r="DW18" s="88"/>
      <c r="DX18" s="85"/>
      <c r="DY18" s="86"/>
      <c r="DZ18" s="86"/>
      <c r="EA18" s="86"/>
      <c r="EB18" s="132"/>
      <c r="EC18" s="132"/>
      <c r="ED18" s="87"/>
      <c r="EE18" s="87"/>
      <c r="EF18" s="86"/>
      <c r="EG18" s="87"/>
      <c r="EH18" s="131"/>
      <c r="EI18" s="88"/>
      <c r="EJ18" s="85" t="str">
        <f>IF(EK18&lt;&gt;"","X","")</f>
        <v>X</v>
      </c>
      <c r="EK18" s="86" t="s">
        <v>142</v>
      </c>
      <c r="EL18" s="86" t="s">
        <v>58</v>
      </c>
      <c r="EM18" s="86"/>
      <c r="EN18" s="132">
        <v>0</v>
      </c>
      <c r="EO18" s="132">
        <v>0</v>
      </c>
      <c r="EP18" s="87">
        <v>44900.84379820602</v>
      </c>
      <c r="EQ18" s="87">
        <v>44893.843960115744</v>
      </c>
      <c r="ER18" s="86" t="str">
        <f>IF(AND(EK18&lt;&gt;"",EL18=""),IF($U18="NONE",IF(EP18&lt;&gt;"","To do","To come"),""),EL18)</f>
        <v>C</v>
      </c>
      <c r="ES18" s="87">
        <f>IF(EQ18&lt;&gt;"",EQ18,"")</f>
        <v>44893.843960115744</v>
      </c>
      <c r="ET18" s="131" t="s">
        <v>144</v>
      </c>
      <c r="EU18" s="88" t="str">
        <f>IF(EK18="","",IF(AND(ET18="NONE",EP18=""),Config!$B$6,IF(EL18&lt;&gt;"",IF(EP18-EQ18&gt;0,_xlfn.DAYS(EP18,EQ18)&amp;Config!$B$2,_xlfn.DAYS(EQ18,EP18)&amp;Config!$B$4),IF(EP18-REFERENCE_DATE&gt;0,_xlfn.DAYS(EP18,REFERENCE_DATE)&amp;Config!$B$3,IF(ET18="NONE",_xlfn.DAYS(REFERENCE_DATE,EP18)&amp;Config!$B$5,"")))))</f>
        <v>7j avant</v>
      </c>
      <c r="EV18" s="61"/>
      <c r="EW18" s="23">
        <f>COUNTA(EM18,EA18,DO18,DC18,CQ18,CE18,BS18,BG18,AU18,AI18)</f>
        <v>0</v>
      </c>
      <c r="EX18" s="134">
        <f t="shared" si="0"/>
        <v>0</v>
      </c>
      <c r="EY18" s="134">
        <f t="shared" si="0"/>
        <v>0</v>
      </c>
      <c r="EZ18" s="137" t="str">
        <f>IF(EW18&lt;&gt;0,EW18&amp;" commentaires(s) - ","")&amp;IF(EX18&lt;&gt;0,EX18&amp;" pièce(s) jointe(s) - ","")&amp;IF(EY18&lt;&gt;0,EY18&amp;" annotation(s) - ","")&amp;IF(OR(EW18&lt;&gt;0,EX18&lt;&gt;0,EY18&lt;&gt;0),"⤵️"&amp;CHAR(10),"")&amp;CHAR(10)&amp;IF(AND(EJ18&lt;&gt;""),"["&amp;$EU$13&amp;"] "&amp;EN18&amp;" attachment(s) - "&amp;EO18&amp;" annotation(s) - "&amp;EM18&amp;CHAR(10),"")&amp;IF(AND(DL18&lt;&gt;""),"["&amp;$DW$13&amp;"] "&amp;DP18&amp;" attachment(s) - "&amp;DQ18&amp;" annotation(s) - "&amp;DO18&amp;CHAR(10),"")&amp;IF(AND(CZ18&lt;&gt;""),"["&amp;$DK$13&amp;"] "&amp;DD18&amp;" attachment(s) - "&amp;DE18&amp;" annotation(s) - "&amp;DC18&amp;CHAR(10),"")&amp;IF(AND(CN18&lt;&gt;""),"["&amp;$CY$13&amp;"] "&amp;CR18&amp;" attachment(s) - "&amp;CS18&amp;" annotation(s) - "&amp;CQ18&amp;CHAR(10),"")&amp;IF(AND(CB18&lt;&gt;""),"["&amp;$CM$13&amp;"] "&amp;CF18&amp;" attachment(s) - "&amp;CG18&amp;" annotation(s) - "&amp;CE18&amp;CHAR(10),"")&amp;IF(AND(BP18&lt;&gt;""),"["&amp;$CA$13&amp;"] "&amp;BT18&amp;" attachment(s) - "&amp;BU18&amp;" annotation(s) - "&amp;BS18&amp;CHAR(10),"")&amp;IF(AND(BD18&lt;&gt;""),"["&amp;$BO$13&amp;"] "&amp;BH18&amp;" attachment(s) - "&amp;BI18&amp;" annotation(s) - "&amp;BG18&amp;CHAR(10),"")&amp;IF(AND(AR18&lt;&gt;""),"["&amp;$BC$13&amp;"] "&amp;AV18&amp;" attachment(s) - "&amp;AW18&amp;" annotation(s) - "&amp;AU18&amp;CHAR(10),"")&amp;IF(AND(AF18&lt;&gt;""),"["&amp;$AQ$13&amp;"] "&amp;AJ18&amp;" attachment(s) - "&amp;AK18&amp;" annotation(s) - "&amp;AI18&amp;CHAR(10),"")&amp;IF(AND(DX18&lt;&gt;""),"["&amp;$EI$13&amp;"] "&amp;EB18&amp;" attachment(s) - "&amp;EC18&amp;" annotation(s) - "&amp;EA18&amp;CHAR(10),"")</f>
        <v xml:space="preserve">
[MO] 0 attachment(s) - 0 annotation(s) - 
[AR] 0 attachment(s) - 0 annotation(s) - 
</v>
      </c>
    </row>
    <row r="19" spans="1:156" ht="15" customHeight="1" x14ac:dyDescent="0.2">
      <c r="A19" s="59"/>
      <c r="B19" s="74" t="s">
        <v>159</v>
      </c>
      <c r="C19" s="75" t="s">
        <v>126</v>
      </c>
      <c r="D19" s="75" t="s">
        <v>127</v>
      </c>
      <c r="E19" s="114">
        <v>1</v>
      </c>
      <c r="F19" s="113" t="s">
        <v>146</v>
      </c>
      <c r="G19" s="75" t="s">
        <v>128</v>
      </c>
      <c r="H19" s="75" t="s">
        <v>129</v>
      </c>
      <c r="I19" s="76" t="s">
        <v>130</v>
      </c>
      <c r="J19" s="75" t="s">
        <v>131</v>
      </c>
      <c r="K19" s="75" t="s">
        <v>132</v>
      </c>
      <c r="L19" s="76" t="s">
        <v>133</v>
      </c>
      <c r="M19" s="75" t="s">
        <v>133</v>
      </c>
      <c r="N19" s="75" t="s">
        <v>134</v>
      </c>
      <c r="O19" s="76" t="s">
        <v>135</v>
      </c>
      <c r="P19" s="135" t="s">
        <v>156</v>
      </c>
      <c r="Q19" s="135" t="s">
        <v>136</v>
      </c>
      <c r="R19" s="135" t="s">
        <v>136</v>
      </c>
      <c r="S19" s="77" t="s">
        <v>137</v>
      </c>
      <c r="T19" s="77" t="s">
        <v>138</v>
      </c>
      <c r="U19" s="78" t="str">
        <f>HYPERLINK(V19,Link)</f>
        <v>Lien</v>
      </c>
      <c r="V19" s="79"/>
      <c r="W19" s="80">
        <v>44893.832584016207</v>
      </c>
      <c r="X19" s="81">
        <v>10</v>
      </c>
      <c r="Y19" s="81">
        <v>5</v>
      </c>
      <c r="Z19" s="82">
        <f>WORKDAY(W19,X19+Y19)</f>
        <v>44914</v>
      </c>
      <c r="AA19" s="81"/>
      <c r="AB19" s="81" t="s">
        <v>147</v>
      </c>
      <c r="AC19" s="81" t="s">
        <v>145</v>
      </c>
      <c r="AD19" s="83" t="str">
        <f>IFERROR(IF(AC19="Current",Current,Previous)&amp;" - ","")&amp;IFERROR(IF(AND(AB19="POSITIVE"),"APPROUVÉ",IF(AB19="NONE","EN COURS - "&amp;AA19,IF(AB19="NEGATIVE","REFUSÉ",IF(AB19="ABORTED","ARRETÉ","")))),"")</f>
        <v>Obsolète - APPROUVÉ</v>
      </c>
      <c r="AE19" s="84">
        <f>IF(OR(AB19="POSITIVE",AB19="NEGATIVE"),MAX(AO19,BA19,BM19,BY19,CK19,CW19,DI19,DU19,ES19),"")</f>
        <v>44893.839169733794</v>
      </c>
      <c r="AF19" s="85" t="str">
        <f>IF(AG19&lt;&gt;"","X","")</f>
        <v>X</v>
      </c>
      <c r="AG19" s="86" t="s">
        <v>142</v>
      </c>
      <c r="AH19" s="86" t="s">
        <v>57</v>
      </c>
      <c r="AI19" s="86" t="s">
        <v>148</v>
      </c>
      <c r="AJ19" s="132">
        <v>1</v>
      </c>
      <c r="AK19" s="132">
        <v>1</v>
      </c>
      <c r="AL19" s="87">
        <v>44907.832584178243</v>
      </c>
      <c r="AM19" s="87">
        <v>44893.83806490741</v>
      </c>
      <c r="AN19" s="86" t="str">
        <f>IF(AND(AG19&lt;&gt;"",AH19=""),IF($U19="NONE",IF(AL19&lt;&gt;"","To do","To come"),""),AH19)</f>
        <v>B</v>
      </c>
      <c r="AO19" s="87">
        <f>IF(AM19&lt;&gt;"",AM19,"")</f>
        <v>44893.83806490741</v>
      </c>
      <c r="AP19" s="131" t="s">
        <v>147</v>
      </c>
      <c r="AQ19" s="88" t="str">
        <f>IF(AG19="","",IF(AND(AP19="NONE",AL19=""),Config!$B$6,IF(AH19&lt;&gt;"",IF(AL19-AM19&gt;0,_xlfn.DAYS(AL19,AM19)&amp;Config!$B$2,_xlfn.DAYS(AM19,AL19)&amp;Config!$B$4),IF(AL19-REFERENCE_DATE&gt;0,_xlfn.DAYS(AL19,REFERENCE_DATE)&amp;Config!$B$3,IF(AP19="NONE",_xlfn.DAYS(REFERENCE_DATE,AL19)&amp;Config!$B$5,"")))))</f>
        <v>14j avant</v>
      </c>
      <c r="AR19" s="85" t="str">
        <f>IF(AS19&lt;&gt;"","X","")</f>
        <v>X</v>
      </c>
      <c r="AS19" s="86" t="s">
        <v>142</v>
      </c>
      <c r="AT19" s="86" t="s">
        <v>56</v>
      </c>
      <c r="AU19" s="86" t="s">
        <v>149</v>
      </c>
      <c r="AV19" s="132">
        <v>0</v>
      </c>
      <c r="AW19" s="132">
        <v>0</v>
      </c>
      <c r="AX19" s="87">
        <v>44907.832585914352</v>
      </c>
      <c r="AY19" s="86">
        <v>44893.838304340279</v>
      </c>
      <c r="AZ19" s="86" t="str">
        <f>IF(AND(AS19&lt;&gt;"",AT19=""),IF($U19="NONE",IF(AX19&lt;&gt;"","To do","To come"),""),AT19)</f>
        <v>A</v>
      </c>
      <c r="BA19" s="87">
        <f>IF(AY19&lt;&gt;"",AY19,"")</f>
        <v>44893.838304340279</v>
      </c>
      <c r="BB19" s="131" t="s">
        <v>147</v>
      </c>
      <c r="BC19" s="88" t="str">
        <f>IF(AS19="","",IF(AND(BB19="NONE",AX19=""),Config!$B$6,IF(AT19&lt;&gt;"",IF(AX19-AY19&gt;0,_xlfn.DAYS(AX19,AY19)&amp;Config!$B$2,_xlfn.DAYS(AY19,AX19)&amp;Config!$B$4),IF(AX19-REFERENCE_DATE&gt;0,_xlfn.DAYS(AX19,REFERENCE_DATE)&amp;Config!$B$3,IF(BB19="NONE",_xlfn.DAYS(REFERENCE_DATE,AX19)&amp;Config!$B$5,"")))))</f>
        <v>14j avant</v>
      </c>
      <c r="BD19" s="85" t="str">
        <f>IF(BE19&lt;&gt;"","X","")</f>
        <v/>
      </c>
      <c r="BE19" s="86"/>
      <c r="BF19" s="86"/>
      <c r="BG19" s="86"/>
      <c r="BH19" s="132"/>
      <c r="BI19" s="132"/>
      <c r="BJ19" s="87"/>
      <c r="BK19" s="86"/>
      <c r="BL19" s="86">
        <f>IF(AND(BE19&lt;&gt;"",BF19=""),IF($U19="NONE",IF(BJ19&lt;&gt;"","To do","To come"),""),BF19)</f>
        <v>0</v>
      </c>
      <c r="BM19" s="87" t="str">
        <f>IF(BK19&lt;&gt;"",BK19,"")</f>
        <v/>
      </c>
      <c r="BN19" s="131" t="s">
        <v>147</v>
      </c>
      <c r="BO19" s="88" t="str">
        <f>IF(BE19="","",IF(AND(BN19="NONE",BJ19=""),Config!$B$6,IF(BF19&lt;&gt;"",IF(BJ19-BK19&gt;0,_xlfn.DAYS(BJ19,BK19)&amp;Config!$B$2,_xlfn.DAYS(BK19,BJ19)&amp;Config!$B$4),IF(BJ19-REFERENCE_DATE&gt;0,_xlfn.DAYS(BJ19,REFERENCE_DATE)&amp;Config!$B$3,IF(BN19="NONE",_xlfn.DAYS(REFERENCE_DATE,BJ19)&amp;Config!$B$5,"")))))</f>
        <v/>
      </c>
      <c r="BP19" s="85" t="str">
        <f>IF(BQ19&lt;&gt;"","X","")</f>
        <v>X</v>
      </c>
      <c r="BQ19" s="86" t="s">
        <v>142</v>
      </c>
      <c r="BR19" s="86" t="s">
        <v>56</v>
      </c>
      <c r="BS19" s="86" t="s">
        <v>150</v>
      </c>
      <c r="BT19" s="132">
        <v>0</v>
      </c>
      <c r="BU19" s="132">
        <v>0</v>
      </c>
      <c r="BV19" s="87">
        <v>44907.832587256948</v>
      </c>
      <c r="BW19" s="86">
        <v>44893.83859122685</v>
      </c>
      <c r="BX19" s="86" t="str">
        <f>IF(AND(BQ19&lt;&gt;"",BR19=""),IF($U19="NONE",IF(BV19&lt;&gt;"","To do","To come"),""),BR19)</f>
        <v>A</v>
      </c>
      <c r="BY19" s="87">
        <f>IF(BW19&lt;&gt;"",BW19,"")</f>
        <v>44893.83859122685</v>
      </c>
      <c r="BZ19" s="131" t="s">
        <v>147</v>
      </c>
      <c r="CA19" s="88" t="str">
        <f>IF(BQ19="","",IF(AND(BZ19="NONE",BV19=""),Config!$B$6,IF(BR19&lt;&gt;"",IF(BV19-BW19&gt;0,_xlfn.DAYS(BV19,BW19)&amp;Config!$B$2,_xlfn.DAYS(BW19,BV19)&amp;Config!$B$4),IF(BV19-REFERENCE_DATE&gt;0,_xlfn.DAYS(BV19,REFERENCE_DATE)&amp;Config!$B$3,IF(BZ19="NONE",_xlfn.DAYS(REFERENCE_DATE,BV19)&amp;Config!$B$5,"")))))</f>
        <v>14j avant</v>
      </c>
      <c r="CB19" s="85"/>
      <c r="CC19" s="86"/>
      <c r="CD19" s="86"/>
      <c r="CE19" s="86"/>
      <c r="CF19" s="132"/>
      <c r="CG19" s="132"/>
      <c r="CH19" s="87"/>
      <c r="CI19" s="87"/>
      <c r="CJ19" s="86"/>
      <c r="CK19" s="87"/>
      <c r="CL19" s="131"/>
      <c r="CM19" s="88"/>
      <c r="CN19" s="85"/>
      <c r="CO19" s="86"/>
      <c r="CP19" s="86"/>
      <c r="CQ19" s="86"/>
      <c r="CR19" s="132"/>
      <c r="CS19" s="132"/>
      <c r="CT19" s="87"/>
      <c r="CU19" s="87"/>
      <c r="CV19" s="86"/>
      <c r="CW19" s="87"/>
      <c r="CX19" s="131"/>
      <c r="CY19" s="88"/>
      <c r="CZ19" s="85"/>
      <c r="DA19" s="86"/>
      <c r="DB19" s="86"/>
      <c r="DC19" s="86"/>
      <c r="DD19" s="132"/>
      <c r="DE19" s="132"/>
      <c r="DF19" s="87"/>
      <c r="DG19" s="87"/>
      <c r="DH19" s="86"/>
      <c r="DI19" s="87"/>
      <c r="DJ19" s="131"/>
      <c r="DK19" s="88"/>
      <c r="DL19" s="85"/>
      <c r="DM19" s="86"/>
      <c r="DN19" s="86"/>
      <c r="DO19" s="86"/>
      <c r="DP19" s="132"/>
      <c r="DQ19" s="132"/>
      <c r="DR19" s="87"/>
      <c r="DS19" s="87"/>
      <c r="DT19" s="86"/>
      <c r="DU19" s="87"/>
      <c r="DV19" s="131"/>
      <c r="DW19" s="88"/>
      <c r="DX19" s="85"/>
      <c r="DY19" s="86"/>
      <c r="DZ19" s="86"/>
      <c r="EA19" s="86"/>
      <c r="EB19" s="132"/>
      <c r="EC19" s="132"/>
      <c r="ED19" s="87"/>
      <c r="EE19" s="87"/>
      <c r="EF19" s="86"/>
      <c r="EG19" s="87"/>
      <c r="EH19" s="131"/>
      <c r="EI19" s="88"/>
      <c r="EJ19" s="85" t="str">
        <f>IF(EK19&lt;&gt;"","X","")</f>
        <v>X</v>
      </c>
      <c r="EK19" s="86" t="s">
        <v>142</v>
      </c>
      <c r="EL19" s="86" t="s">
        <v>58</v>
      </c>
      <c r="EM19" s="86" t="s">
        <v>151</v>
      </c>
      <c r="EN19" s="132">
        <v>0</v>
      </c>
      <c r="EO19" s="132">
        <v>1</v>
      </c>
      <c r="EP19" s="87">
        <v>44900.838592280095</v>
      </c>
      <c r="EQ19" s="87">
        <v>44893.839169733794</v>
      </c>
      <c r="ER19" s="86" t="str">
        <f>IF(AND(EK19&lt;&gt;"",EL19=""),IF($U19="NONE",IF(EP19&lt;&gt;"","To do","To come"),""),EL19)</f>
        <v>C</v>
      </c>
      <c r="ES19" s="87">
        <f>IF(EQ19&lt;&gt;"",EQ19,"")</f>
        <v>44893.839169733794</v>
      </c>
      <c r="ET19" s="131" t="s">
        <v>147</v>
      </c>
      <c r="EU19" s="88" t="str">
        <f>IF(EK19="","",IF(AND(ET19="NONE",EP19=""),Config!$B$6,IF(EL19&lt;&gt;"",IF(EP19-EQ19&gt;0,_xlfn.DAYS(EP19,EQ19)&amp;Config!$B$2,_xlfn.DAYS(EQ19,EP19)&amp;Config!$B$4),IF(EP19-REFERENCE_DATE&gt;0,_xlfn.DAYS(EP19,REFERENCE_DATE)&amp;Config!$B$3,IF(ET19="NONE",_xlfn.DAYS(REFERENCE_DATE,EP19)&amp;Config!$B$5,"")))))</f>
        <v>7j avant</v>
      </c>
      <c r="EV19" s="61"/>
      <c r="EW19" s="23">
        <f>COUNTA(EM19,EA19,DO19,DC19,CQ19,CE19,BS19,BG19,AU19,AI19)</f>
        <v>4</v>
      </c>
      <c r="EX19" s="134">
        <f t="shared" si="0"/>
        <v>1</v>
      </c>
      <c r="EY19" s="134">
        <f t="shared" si="0"/>
        <v>2</v>
      </c>
      <c r="EZ19" s="137" t="str">
        <f>IF(EW19&lt;&gt;0,EW19&amp;" commentaires(s) - ","")&amp;IF(EX19&lt;&gt;0,EX19&amp;" pièce(s) jointe(s) - ","")&amp;IF(EY19&lt;&gt;0,EY19&amp;" annotation(s) - ","")&amp;IF(OR(EW19&lt;&gt;0,EX19&lt;&gt;0,EY19&lt;&gt;0),"⤵️"&amp;CHAR(10),"")&amp;CHAR(10)&amp;IF(AND(EJ19&lt;&gt;""),"["&amp;$EU$13&amp;"] "&amp;EN19&amp;" attachment(s) - "&amp;EO19&amp;" annotation(s) - "&amp;EM19&amp;CHAR(10),"")&amp;IF(AND(DL19&lt;&gt;""),"["&amp;$DW$13&amp;"] "&amp;DP19&amp;" attachment(s) - "&amp;DQ19&amp;" annotation(s) - "&amp;DO19&amp;CHAR(10),"")&amp;IF(AND(CZ19&lt;&gt;""),"["&amp;$DK$13&amp;"] "&amp;DD19&amp;" attachment(s) - "&amp;DE19&amp;" annotation(s) - "&amp;DC19&amp;CHAR(10),"")&amp;IF(AND(CN19&lt;&gt;""),"["&amp;$CY$13&amp;"] "&amp;CR19&amp;" attachment(s) - "&amp;CS19&amp;" annotation(s) - "&amp;CQ19&amp;CHAR(10),"")&amp;IF(AND(CB19&lt;&gt;""),"["&amp;$CM$13&amp;"] "&amp;CF19&amp;" attachment(s) - "&amp;CG19&amp;" annotation(s) - "&amp;CE19&amp;CHAR(10),"")&amp;IF(AND(BP19&lt;&gt;""),"["&amp;$CA$13&amp;"] "&amp;BT19&amp;" attachment(s) - "&amp;BU19&amp;" annotation(s) - "&amp;BS19&amp;CHAR(10),"")&amp;IF(AND(BD19&lt;&gt;""),"["&amp;$BO$13&amp;"] "&amp;BH19&amp;" attachment(s) - "&amp;BI19&amp;" annotation(s) - "&amp;BG19&amp;CHAR(10),"")&amp;IF(AND(AR19&lt;&gt;""),"["&amp;$BC$13&amp;"] "&amp;AV19&amp;" attachment(s) - "&amp;AW19&amp;" annotation(s) - "&amp;AU19&amp;CHAR(10),"")&amp;IF(AND(AF19&lt;&gt;""),"["&amp;$AQ$13&amp;"] "&amp;AJ19&amp;" attachment(s) - "&amp;AK19&amp;" annotation(s) - "&amp;AI19&amp;CHAR(10),"")&amp;IF(AND(DX19&lt;&gt;""),"["&amp;$EI$13&amp;"] "&amp;EB19&amp;" attachment(s) - "&amp;EC19&amp;" annotation(s) - "&amp;EA19&amp;CHAR(10),"")</f>
        <v xml:space="preserve">4 commentaires(s) - 1 pièce(s) jointe(s) - 2 annotation(s) - ⤵️
[MO] 0 attachment(s) - 1 annotation(s) - Commentaire MO Test
[CSS] 0 attachment(s) - 0 annotation(s) - Commentaire CSS Test
[STAB/TS] 0 attachment(s) - 0 annotation(s) - Commentaire Stabilité / TS Test
[AR] 1 attachment(s) - 1 annotation(s) - Commentaire Architecte Test
</v>
      </c>
    </row>
    <row r="20" spans="1:156" x14ac:dyDescent="0.2"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Z20" s="138"/>
    </row>
  </sheetData>
  <autoFilter ref="B15:EU16" xr:uid="{00000000-0001-0000-0000-000000000000}"/>
  <mergeCells count="48">
    <mergeCell ref="D2:P3"/>
    <mergeCell ref="G13:G15"/>
    <mergeCell ref="T13:T15"/>
    <mergeCell ref="AF2:EZ2"/>
    <mergeCell ref="BD14:BO14"/>
    <mergeCell ref="D5:O5"/>
    <mergeCell ref="AF14:AQ14"/>
    <mergeCell ref="BP14:CA14"/>
    <mergeCell ref="CZ14:DK14"/>
    <mergeCell ref="W2:AE2"/>
    <mergeCell ref="W3:AE3"/>
    <mergeCell ref="DL14:DW14"/>
    <mergeCell ref="CB14:CM14"/>
    <mergeCell ref="BP13:BZ13"/>
    <mergeCell ref="AF13:AP13"/>
    <mergeCell ref="AR13:BB13"/>
    <mergeCell ref="BD13:BN13"/>
    <mergeCell ref="B5:C5"/>
    <mergeCell ref="CN14:CY14"/>
    <mergeCell ref="EZ13:EZ15"/>
    <mergeCell ref="F13:F15"/>
    <mergeCell ref="E13:E15"/>
    <mergeCell ref="D13:D15"/>
    <mergeCell ref="S13:S15"/>
    <mergeCell ref="I13:I15"/>
    <mergeCell ref="H13:H15"/>
    <mergeCell ref="C13:C15"/>
    <mergeCell ref="B13:B15"/>
    <mergeCell ref="U13:U15"/>
    <mergeCell ref="DX14:EI14"/>
    <mergeCell ref="P13:P15"/>
    <mergeCell ref="AR14:BC14"/>
    <mergeCell ref="EJ14:EU14"/>
    <mergeCell ref="EJ13:ET13"/>
    <mergeCell ref="O13:O15"/>
    <mergeCell ref="R13:R15"/>
    <mergeCell ref="Q13:Q15"/>
    <mergeCell ref="W13:AE14"/>
    <mergeCell ref="CB13:CL13"/>
    <mergeCell ref="CN13:CX13"/>
    <mergeCell ref="CZ13:DJ13"/>
    <mergeCell ref="DL13:DV13"/>
    <mergeCell ref="DX13:EH13"/>
    <mergeCell ref="J13:J15"/>
    <mergeCell ref="K13:K15"/>
    <mergeCell ref="L13:L15"/>
    <mergeCell ref="M13:M15"/>
    <mergeCell ref="N13:N15"/>
  </mergeCells>
  <phoneticPr fontId="5" type="noConversion"/>
  <conditionalFormatting sqref="W5:EU9999">
    <cfRule type="cellIs" dxfId="44" priority="3" operator="equal">
      <formula>StatusKeyToDo</formula>
    </cfRule>
    <cfRule type="cellIs" dxfId="43" priority="53" operator="equal">
      <formula>StatusKey1</formula>
    </cfRule>
    <cfRule type="cellIs" dxfId="42" priority="54" operator="equal">
      <formula>StatusKey2</formula>
    </cfRule>
    <cfRule type="cellIs" dxfId="41" priority="55" operator="equal">
      <formula>StatusKey3</formula>
    </cfRule>
    <cfRule type="cellIs" dxfId="40" priority="56" operator="equal">
      <formula>StatusKey4</formula>
    </cfRule>
    <cfRule type="cellIs" dxfId="39" priority="57" operator="equal">
      <formula>StatusKey5</formula>
    </cfRule>
    <cfRule type="cellIs" dxfId="38" priority="58" operator="equal">
      <formula>StatusKey6</formula>
    </cfRule>
  </conditionalFormatting>
  <conditionalFormatting sqref="B16:AE9999">
    <cfRule type="expression" dxfId="37" priority="94" stopIfTrue="1">
      <formula>IF($AC16="PREVIOUS",TRUE,FALSE)</formula>
    </cfRule>
    <cfRule type="expression" dxfId="36" priority="95" stopIfTrue="1">
      <formula>IF($AB16="NEGATIVE",TRUE,FALSE)</formula>
    </cfRule>
    <cfRule type="expression" dxfId="35" priority="96" stopIfTrue="1">
      <formula>IF($AB16="POSITIVE",TRUE,FALSE)</formula>
    </cfRule>
  </conditionalFormatting>
  <printOptions horizontalCentered="1"/>
  <pageMargins left="0.15748031496062992" right="0.15748031496062992" top="0.39370078740157483" bottom="0.39370078740157483" header="0.51181102362204722" footer="0.51181102362204722"/>
  <pageSetup paperSize="9" scale="65" fitToHeight="0" orientation="portrait" cellComments="asDisplayed" r:id="rId1"/>
  <headerFooter alignWithMargins="0">
    <oddHeader>&amp;R&amp;D</oddHeader>
    <oddFooter>&amp;R&amp;P/&amp;N</oddFooter>
  </headerFooter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152DD5D4-E3F8-4BAC-81A0-0AED4D642236}">
            <xm:f>NOT(ISERROR(SEARCH(DaysLeft,W16)))</xm:f>
            <xm:f>DaysLeft</xm:f>
            <x14:dxf>
              <font>
                <color theme="9"/>
              </font>
              <fill>
                <patternFill patternType="none">
                  <bgColor auto="1"/>
                </patternFill>
              </fill>
            </x14:dxf>
          </x14:cfRule>
          <x14:cfRule type="containsText" priority="2" operator="containsText" id="{21E6254C-FFB8-44CA-83D1-537264DC0322}">
            <xm:f>NOT(ISERROR(SEARCH(DaysOverdue,W16)))</xm:f>
            <xm:f>DaysOverdue</xm:f>
            <x14:dxf>
              <font>
                <color theme="5"/>
              </font>
              <fill>
                <patternFill patternType="none">
                  <bgColor auto="1"/>
                </patternFill>
              </fill>
            </x14:dxf>
          </x14:cfRule>
          <xm:sqref>W16:ABA9999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FF069-6FD4-4EFC-83D2-F37FCCD3DEE7}">
  <sheetPr codeName="Feuil1"/>
  <dimension ref="B1:Z18"/>
  <sheetViews>
    <sheetView zoomScale="70" zoomScaleNormal="70" zoomScaleSheetLayoutView="80" workbookViewId="0">
      <selection activeCell="K25" sqref="K25"/>
    </sheetView>
  </sheetViews>
  <sheetFormatPr baseColWidth="10" defaultColWidth="11.42578125" defaultRowHeight="12.75" x14ac:dyDescent="0.2"/>
  <cols>
    <col min="1" max="1" width="2.42578125" style="1" customWidth="1"/>
    <col min="2" max="8" width="7.7109375" style="1" customWidth="1"/>
    <col min="9" max="9" width="7.7109375" style="5" customWidth="1"/>
    <col min="10" max="10" width="7.7109375" style="1" customWidth="1"/>
    <col min="11" max="11" width="64.42578125" style="1" customWidth="1"/>
    <col min="12" max="12" width="7.7109375" style="1" customWidth="1"/>
    <col min="13" max="17" width="9.7109375" style="1" customWidth="1"/>
    <col min="18" max="18" width="4" style="1" customWidth="1"/>
    <col min="19" max="19" width="76.28515625" style="1" customWidth="1"/>
    <col min="20" max="16384" width="11.42578125" style="1"/>
  </cols>
  <sheetData>
    <row r="1" spans="2:26" x14ac:dyDescent="0.2">
      <c r="I1" s="1"/>
    </row>
    <row r="2" spans="2:26" s="14" customFormat="1" ht="110.65" customHeight="1" x14ac:dyDescent="0.2">
      <c r="B2" s="206"/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206"/>
      <c r="N2" s="206"/>
      <c r="O2" s="206"/>
      <c r="P2" s="206"/>
      <c r="Q2" s="206"/>
      <c r="R2" s="206"/>
      <c r="S2" s="207"/>
    </row>
    <row r="3" spans="2:26" s="14" customFormat="1" ht="25.5" customHeight="1" x14ac:dyDescent="0.2"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8"/>
      <c r="N3" s="208"/>
      <c r="O3" s="208"/>
      <c r="P3" s="208"/>
      <c r="Q3" s="208"/>
      <c r="R3" s="208"/>
      <c r="S3" s="209"/>
    </row>
    <row r="4" spans="2:26" s="3" customFormat="1" ht="16.149999999999999" customHeight="1" x14ac:dyDescent="0.25">
      <c r="B4" s="11"/>
      <c r="C4" s="11"/>
      <c r="D4" s="11"/>
      <c r="E4" s="11"/>
      <c r="F4" s="11"/>
      <c r="G4" s="11"/>
      <c r="H4" s="11"/>
      <c r="I4" s="1"/>
      <c r="J4" s="11"/>
      <c r="K4" s="16"/>
      <c r="L4" s="16"/>
      <c r="M4" s="13"/>
      <c r="N4" s="13"/>
      <c r="O4" s="13"/>
      <c r="P4" s="13"/>
      <c r="Q4" s="13"/>
      <c r="R4" s="13"/>
      <c r="S4" s="10"/>
      <c r="U4" s="14"/>
      <c r="V4" s="14"/>
      <c r="W4" s="14"/>
      <c r="X4" s="14"/>
      <c r="Y4" s="14"/>
      <c r="Z4" s="14"/>
    </row>
    <row r="5" spans="2:26" s="3" customFormat="1" ht="16.149999999999999" customHeight="1" x14ac:dyDescent="0.25">
      <c r="B5" s="11"/>
      <c r="C5" s="11"/>
      <c r="D5" s="11"/>
      <c r="E5" s="11"/>
      <c r="F5" s="11"/>
      <c r="G5" s="11"/>
      <c r="H5" s="11"/>
      <c r="I5" s="1"/>
      <c r="J5" s="11"/>
      <c r="K5" s="16"/>
      <c r="L5" s="16"/>
      <c r="M5" s="13"/>
      <c r="N5" s="13"/>
      <c r="O5" s="13"/>
      <c r="P5" s="13"/>
      <c r="Q5" s="13"/>
      <c r="R5" s="13"/>
      <c r="S5" s="10"/>
      <c r="U5" s="14"/>
      <c r="V5" s="14"/>
      <c r="W5" s="14"/>
      <c r="X5" s="14"/>
      <c r="Y5" s="14"/>
      <c r="Z5" s="14"/>
    </row>
    <row r="6" spans="2:26" s="3" customFormat="1" ht="15.4" customHeight="1" thickBot="1" x14ac:dyDescent="0.25">
      <c r="B6" s="11"/>
      <c r="C6" s="11"/>
      <c r="D6" s="11"/>
      <c r="E6" s="11"/>
      <c r="F6" s="11"/>
      <c r="G6" s="11"/>
      <c r="H6" s="11"/>
      <c r="I6" s="11"/>
      <c r="J6" s="11"/>
      <c r="K6" s="15"/>
      <c r="L6" s="15"/>
      <c r="M6" s="13"/>
      <c r="N6" s="13"/>
      <c r="O6" s="13"/>
      <c r="P6" s="13"/>
      <c r="Q6" s="13"/>
      <c r="R6" s="13"/>
      <c r="S6" s="10"/>
      <c r="U6" s="14"/>
      <c r="V6" s="14"/>
      <c r="W6" s="14"/>
      <c r="X6" s="14"/>
      <c r="Y6" s="14"/>
      <c r="Z6" s="14"/>
    </row>
    <row r="7" spans="2:26" s="6" customFormat="1" ht="37.9" customHeight="1" x14ac:dyDescent="0.2">
      <c r="B7" s="190" t="s">
        <v>2</v>
      </c>
      <c r="C7" s="155" t="s">
        <v>16</v>
      </c>
      <c r="D7" s="155" t="s">
        <v>17</v>
      </c>
      <c r="E7" s="186" t="s">
        <v>18</v>
      </c>
      <c r="F7" s="155" t="s">
        <v>3</v>
      </c>
      <c r="G7" s="155" t="s">
        <v>19</v>
      </c>
      <c r="H7" s="155" t="s">
        <v>20</v>
      </c>
      <c r="I7" s="155" t="s">
        <v>5</v>
      </c>
      <c r="J7" s="155" t="s">
        <v>6</v>
      </c>
      <c r="K7" s="189" t="s">
        <v>7</v>
      </c>
      <c r="L7" s="155" t="s">
        <v>21</v>
      </c>
      <c r="M7" s="210" t="s">
        <v>22</v>
      </c>
      <c r="N7" s="211"/>
      <c r="O7" s="211"/>
      <c r="P7" s="211"/>
      <c r="Q7" s="212"/>
      <c r="R7" s="18"/>
      <c r="S7" s="183" t="s">
        <v>23</v>
      </c>
      <c r="U7" s="14"/>
      <c r="V7" s="14"/>
      <c r="W7" s="14"/>
      <c r="X7" s="14"/>
      <c r="Y7" s="14"/>
      <c r="Z7" s="14"/>
    </row>
    <row r="8" spans="2:26" s="6" customFormat="1" ht="30" customHeight="1" x14ac:dyDescent="0.2">
      <c r="B8" s="191"/>
      <c r="C8" s="156"/>
      <c r="D8" s="156"/>
      <c r="E8" s="187"/>
      <c r="F8" s="156"/>
      <c r="G8" s="156"/>
      <c r="H8" s="156"/>
      <c r="I8" s="156"/>
      <c r="J8" s="156"/>
      <c r="K8" s="162"/>
      <c r="L8" s="156"/>
      <c r="M8" s="213"/>
      <c r="N8" s="214"/>
      <c r="O8" s="214"/>
      <c r="P8" s="214"/>
      <c r="Q8" s="215"/>
      <c r="R8" s="18"/>
      <c r="S8" s="184"/>
    </row>
    <row r="9" spans="2:26" s="4" customFormat="1" ht="66" customHeight="1" thickBot="1" x14ac:dyDescent="0.25">
      <c r="B9" s="192"/>
      <c r="C9" s="157"/>
      <c r="D9" s="157"/>
      <c r="E9" s="188"/>
      <c r="F9" s="157"/>
      <c r="G9" s="157"/>
      <c r="H9" s="157"/>
      <c r="I9" s="157"/>
      <c r="J9" s="157"/>
      <c r="K9" s="163"/>
      <c r="L9" s="157"/>
      <c r="M9" s="39" t="s">
        <v>9</v>
      </c>
      <c r="N9" s="40" t="s">
        <v>24</v>
      </c>
      <c r="O9" s="41" t="s">
        <v>25</v>
      </c>
      <c r="P9" s="41" t="s">
        <v>26</v>
      </c>
      <c r="Q9" s="42" t="s">
        <v>27</v>
      </c>
      <c r="R9" s="19"/>
      <c r="S9" s="185"/>
    </row>
    <row r="10" spans="2:26" s="3" customFormat="1" ht="15.4" customHeight="1" thickBot="1" x14ac:dyDescent="0.25"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1"/>
      <c r="S10" s="10"/>
    </row>
    <row r="11" spans="2:26" s="2" customFormat="1" ht="34.9" customHeight="1" x14ac:dyDescent="0.2">
      <c r="B11" s="36"/>
      <c r="C11" s="7"/>
      <c r="D11" s="7"/>
      <c r="E11" s="7"/>
      <c r="F11" s="7"/>
      <c r="G11" s="7"/>
      <c r="H11" s="7"/>
      <c r="I11" s="8"/>
      <c r="J11" s="9"/>
      <c r="K11" s="7"/>
      <c r="L11" s="29"/>
      <c r="M11" s="30"/>
      <c r="N11" s="31"/>
      <c r="O11" s="31"/>
      <c r="P11" s="31"/>
      <c r="Q11" s="34"/>
      <c r="R11" s="17"/>
      <c r="S11" s="25"/>
    </row>
    <row r="12" spans="2:26" ht="34.9" customHeight="1" x14ac:dyDescent="0.2">
      <c r="B12" s="37"/>
      <c r="C12" s="7"/>
      <c r="D12" s="7"/>
      <c r="E12" s="7"/>
      <c r="F12" s="7"/>
      <c r="G12" s="7"/>
      <c r="H12" s="7"/>
      <c r="I12" s="8"/>
      <c r="J12" s="9"/>
      <c r="K12" s="7"/>
      <c r="L12" s="29"/>
      <c r="M12" s="32"/>
      <c r="N12" s="33"/>
      <c r="O12" s="33"/>
      <c r="P12" s="33"/>
      <c r="Q12" s="35"/>
      <c r="R12" s="20"/>
      <c r="S12" s="25"/>
    </row>
    <row r="13" spans="2:26" ht="34.9" customHeight="1" x14ac:dyDescent="0.2">
      <c r="B13" s="37"/>
      <c r="C13" s="7"/>
      <c r="D13" s="7"/>
      <c r="E13" s="7"/>
      <c r="F13" s="7"/>
      <c r="G13" s="7"/>
      <c r="H13" s="7"/>
      <c r="I13" s="8"/>
      <c r="J13" s="9"/>
      <c r="K13" s="7"/>
      <c r="L13" s="29"/>
      <c r="M13" s="32"/>
      <c r="N13" s="33"/>
      <c r="O13" s="33"/>
      <c r="P13" s="33"/>
      <c r="Q13" s="35"/>
      <c r="R13" s="20"/>
      <c r="S13" s="25"/>
    </row>
    <row r="14" spans="2:26" ht="34.9" customHeight="1" x14ac:dyDescent="0.2">
      <c r="B14" s="37"/>
      <c r="C14" s="7"/>
      <c r="D14" s="7"/>
      <c r="E14" s="7"/>
      <c r="F14" s="7"/>
      <c r="G14" s="7"/>
      <c r="H14" s="7"/>
      <c r="I14" s="8"/>
      <c r="J14" s="9"/>
      <c r="K14" s="7"/>
      <c r="L14" s="29"/>
      <c r="M14" s="32"/>
      <c r="N14" s="33"/>
      <c r="O14" s="33"/>
      <c r="P14" s="33"/>
      <c r="Q14" s="35"/>
      <c r="R14" s="20"/>
      <c r="S14" s="25"/>
    </row>
    <row r="15" spans="2:26" ht="34.9" customHeight="1" x14ac:dyDescent="0.2">
      <c r="B15" s="37"/>
      <c r="C15" s="7"/>
      <c r="D15" s="7"/>
      <c r="E15" s="7"/>
      <c r="F15" s="7"/>
      <c r="G15" s="7"/>
      <c r="H15" s="7"/>
      <c r="I15" s="8"/>
      <c r="J15" s="9"/>
      <c r="K15" s="7"/>
      <c r="L15" s="29"/>
      <c r="M15" s="32"/>
      <c r="N15" s="33"/>
      <c r="O15" s="33"/>
      <c r="P15" s="33"/>
      <c r="Q15" s="35"/>
      <c r="R15" s="20"/>
      <c r="S15" s="25"/>
    </row>
    <row r="16" spans="2:26" ht="34.9" customHeight="1" x14ac:dyDescent="0.2">
      <c r="B16" s="37"/>
      <c r="C16" s="7"/>
      <c r="D16" s="7"/>
      <c r="E16" s="7"/>
      <c r="F16" s="7"/>
      <c r="G16" s="7"/>
      <c r="H16" s="7"/>
      <c r="I16" s="8"/>
      <c r="J16" s="9"/>
      <c r="K16" s="7"/>
      <c r="L16" s="29"/>
      <c r="M16" s="32"/>
      <c r="N16" s="33"/>
      <c r="O16" s="33"/>
      <c r="P16" s="33"/>
      <c r="Q16" s="35"/>
      <c r="R16" s="20"/>
      <c r="S16" s="25"/>
    </row>
    <row r="17" spans="2:19" ht="34.9" customHeight="1" x14ac:dyDescent="0.2">
      <c r="B17" s="37"/>
      <c r="C17" s="7"/>
      <c r="D17" s="7"/>
      <c r="E17" s="7"/>
      <c r="F17" s="7"/>
      <c r="G17" s="7"/>
      <c r="H17" s="7"/>
      <c r="I17" s="8"/>
      <c r="J17" s="9"/>
      <c r="K17" s="7"/>
      <c r="L17" s="29"/>
      <c r="M17" s="32"/>
      <c r="N17" s="33"/>
      <c r="O17" s="33"/>
      <c r="P17" s="33"/>
      <c r="Q17" s="35"/>
      <c r="R17" s="20"/>
      <c r="S17" s="26"/>
    </row>
    <row r="18" spans="2:19" ht="34.9" customHeight="1" thickBot="1" x14ac:dyDescent="0.25">
      <c r="B18" s="43"/>
      <c r="C18" s="44"/>
      <c r="D18" s="44"/>
      <c r="E18" s="44"/>
      <c r="F18" s="44"/>
      <c r="G18" s="44"/>
      <c r="H18" s="44"/>
      <c r="I18" s="45"/>
      <c r="J18" s="46"/>
      <c r="K18" s="44"/>
      <c r="L18" s="47"/>
      <c r="M18" s="48"/>
      <c r="N18" s="49"/>
      <c r="O18" s="49"/>
      <c r="P18" s="49"/>
      <c r="Q18" s="50"/>
      <c r="R18" s="20"/>
      <c r="S18" s="26"/>
    </row>
  </sheetData>
  <mergeCells count="15">
    <mergeCell ref="B2:S2"/>
    <mergeCell ref="B3:S3"/>
    <mergeCell ref="B7:B9"/>
    <mergeCell ref="C7:C9"/>
    <mergeCell ref="D7:D9"/>
    <mergeCell ref="E7:E9"/>
    <mergeCell ref="F7:F9"/>
    <mergeCell ref="G7:G9"/>
    <mergeCell ref="H7:H9"/>
    <mergeCell ref="I7:I9"/>
    <mergeCell ref="M7:Q8"/>
    <mergeCell ref="S7:S9"/>
    <mergeCell ref="J7:J9"/>
    <mergeCell ref="K7:K9"/>
    <mergeCell ref="L7:L9"/>
  </mergeCells>
  <conditionalFormatting sqref="AD11:AD376">
    <cfRule type="expression" dxfId="32" priority="16">
      <formula>IF(AND(BB11&lt;TODAY(),BC11="W"),TRUE,FALSE)</formula>
    </cfRule>
  </conditionalFormatting>
  <conditionalFormatting sqref="M11:R1584">
    <cfRule type="cellIs" dxfId="31" priority="18" operator="lessThan">
      <formula>0</formula>
    </cfRule>
  </conditionalFormatting>
  <conditionalFormatting sqref="R12:R1584 M11:Q1584">
    <cfRule type="containsText" dxfId="30" priority="17" operator="containsText" text="A">
      <formula>NOT(ISERROR(SEARCH("A",M11)))</formula>
    </cfRule>
    <cfRule type="containsText" dxfId="29" priority="19" operator="containsText" text="C">
      <formula>NOT(ISERROR(SEARCH("C",M11)))</formula>
    </cfRule>
    <cfRule type="containsText" dxfId="28" priority="20" operator="containsText" text="E">
      <formula>NOT(ISERROR(SEARCH("E",M11)))</formula>
    </cfRule>
    <cfRule type="beginsWith" dxfId="27" priority="21" operator="beginsWith" text="W">
      <formula>LEFT(M11,LEN("W"))="W"</formula>
    </cfRule>
    <cfRule type="containsText" dxfId="26" priority="22" operator="containsText" text="D">
      <formula>NOT(ISERROR(SEARCH("D",M11)))</formula>
    </cfRule>
    <cfRule type="containsText" dxfId="25" priority="23" operator="containsText" text="B">
      <formula>NOT(ISERROR(SEARCH("B",M11)))</formula>
    </cfRule>
  </conditionalFormatting>
  <conditionalFormatting sqref="K19:L1585">
    <cfRule type="expression" dxfId="24" priority="12">
      <formula>IF(#REF!="VALIDE",TRUE,FALSE)</formula>
    </cfRule>
    <cfRule type="expression" dxfId="23" priority="13">
      <formula>IF(#REF!="REFUSE",TRUE,FALSE)</formula>
    </cfRule>
    <cfRule type="expression" dxfId="22" priority="14">
      <formula>IF(#REF!="AVORTE",TRUE,FALSE)</formula>
    </cfRule>
    <cfRule type="expression" dxfId="21" priority="15">
      <formula>IF(#REF!="OBSOLETE",TRUE,FALSE)</formula>
    </cfRule>
  </conditionalFormatting>
  <printOptions horizontalCentered="1"/>
  <pageMargins left="0.15748031496062992" right="0.15748031496062992" top="0.39370078740157483" bottom="0.39370078740157483" header="0.51181102362204722" footer="0.51181102362204722"/>
  <pageSetup paperSize="9" scale="65" fitToHeight="0" orientation="portrait" cellComments="asDisplayed" r:id="rId1"/>
  <headerFooter alignWithMargins="0">
    <oddHeader>&amp;R&amp;D</oddHeader>
    <oddFooter>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FB7FE-D10B-41C5-A513-D6BDDEE72F8C}">
  <sheetPr codeName="Feuil3"/>
  <dimension ref="A1:C33"/>
  <sheetViews>
    <sheetView workbookViewId="0">
      <selection activeCell="B7" sqref="B7"/>
    </sheetView>
  </sheetViews>
  <sheetFormatPr baseColWidth="10" defaultColWidth="11.42578125" defaultRowHeight="12.75" x14ac:dyDescent="0.2"/>
  <cols>
    <col min="1" max="1" width="17.5703125" customWidth="1"/>
    <col min="2" max="2" width="36.140625" customWidth="1"/>
    <col min="3" max="3" width="63" customWidth="1"/>
  </cols>
  <sheetData>
    <row r="1" spans="1:3" x14ac:dyDescent="0.2">
      <c r="A1" s="64" t="s">
        <v>28</v>
      </c>
      <c r="B1" s="64" t="s">
        <v>29</v>
      </c>
      <c r="C1" s="64" t="s">
        <v>30</v>
      </c>
    </row>
    <row r="2" spans="1:3" x14ac:dyDescent="0.2">
      <c r="A2" s="1" t="s">
        <v>31</v>
      </c>
      <c r="B2" s="117" t="s">
        <v>115</v>
      </c>
    </row>
    <row r="3" spans="1:3" x14ac:dyDescent="0.2">
      <c r="A3" s="63" t="s">
        <v>32</v>
      </c>
      <c r="B3" s="118" t="s">
        <v>75</v>
      </c>
    </row>
    <row r="4" spans="1:3" x14ac:dyDescent="0.2">
      <c r="A4" s="62" t="s">
        <v>33</v>
      </c>
      <c r="B4" s="119" t="s">
        <v>116</v>
      </c>
    </row>
    <row r="5" spans="1:3" x14ac:dyDescent="0.2">
      <c r="A5" s="62" t="s">
        <v>34</v>
      </c>
      <c r="B5" s="119" t="s">
        <v>117</v>
      </c>
    </row>
    <row r="6" spans="1:3" x14ac:dyDescent="0.2">
      <c r="A6" s="1" t="s">
        <v>35</v>
      </c>
      <c r="B6" s="117" t="s">
        <v>125</v>
      </c>
    </row>
    <row r="7" spans="1:3" x14ac:dyDescent="0.2">
      <c r="A7" s="1" t="s">
        <v>36</v>
      </c>
      <c r="B7" s="117" t="s">
        <v>37</v>
      </c>
    </row>
    <row r="8" spans="1:3" x14ac:dyDescent="0.2">
      <c r="A8" s="1" t="s">
        <v>38</v>
      </c>
      <c r="B8" s="117" t="s">
        <v>76</v>
      </c>
    </row>
    <row r="9" spans="1:3" x14ac:dyDescent="0.2">
      <c r="A9" s="1" t="s">
        <v>39</v>
      </c>
      <c r="B9" s="117" t="s">
        <v>77</v>
      </c>
    </row>
    <row r="10" spans="1:3" x14ac:dyDescent="0.2">
      <c r="A10" s="1" t="s">
        <v>40</v>
      </c>
      <c r="B10" s="117" t="s">
        <v>41</v>
      </c>
    </row>
    <row r="11" spans="1:3" x14ac:dyDescent="0.2">
      <c r="A11" s="1" t="s">
        <v>109</v>
      </c>
      <c r="B11" s="117" t="s">
        <v>109</v>
      </c>
    </row>
    <row r="12" spans="1:3" x14ac:dyDescent="0.2">
      <c r="A12" s="1" t="s">
        <v>42</v>
      </c>
      <c r="B12" s="117" t="s">
        <v>78</v>
      </c>
    </row>
    <row r="13" spans="1:3" x14ac:dyDescent="0.2">
      <c r="A13" s="1" t="s">
        <v>43</v>
      </c>
      <c r="B13" s="117" t="s">
        <v>79</v>
      </c>
    </row>
    <row r="14" spans="1:3" x14ac:dyDescent="0.2">
      <c r="A14" s="1" t="s">
        <v>44</v>
      </c>
      <c r="B14" s="117" t="s">
        <v>114</v>
      </c>
    </row>
    <row r="15" spans="1:3" x14ac:dyDescent="0.2">
      <c r="A15" s="1" t="s">
        <v>45</v>
      </c>
      <c r="B15" s="117" t="s">
        <v>80</v>
      </c>
    </row>
    <row r="16" spans="1:3" x14ac:dyDescent="0.2">
      <c r="A16" s="1" t="s">
        <v>46</v>
      </c>
      <c r="B16" s="117" t="s">
        <v>81</v>
      </c>
    </row>
    <row r="18" spans="1:2" x14ac:dyDescent="0.2">
      <c r="A18" s="64" t="s">
        <v>47</v>
      </c>
    </row>
    <row r="19" spans="1:2" x14ac:dyDescent="0.2">
      <c r="A19" s="115" t="s">
        <v>48</v>
      </c>
      <c r="B19" s="116" t="s">
        <v>49</v>
      </c>
    </row>
    <row r="20" spans="1:2" x14ac:dyDescent="0.2">
      <c r="A20" s="115" t="s">
        <v>50</v>
      </c>
      <c r="B20" s="116" t="s">
        <v>82</v>
      </c>
    </row>
    <row r="21" spans="1:2" x14ac:dyDescent="0.2">
      <c r="A21" s="115" t="s">
        <v>51</v>
      </c>
      <c r="B21" s="116" t="s">
        <v>83</v>
      </c>
    </row>
    <row r="22" spans="1:2" x14ac:dyDescent="0.2">
      <c r="A22" s="115" t="s">
        <v>52</v>
      </c>
      <c r="B22" s="116" t="s">
        <v>84</v>
      </c>
    </row>
    <row r="23" spans="1:2" x14ac:dyDescent="0.2">
      <c r="A23" s="115" t="s">
        <v>53</v>
      </c>
      <c r="B23" s="116" t="s">
        <v>85</v>
      </c>
    </row>
    <row r="24" spans="1:2" x14ac:dyDescent="0.2">
      <c r="A24" s="115" t="s">
        <v>54</v>
      </c>
      <c r="B24" s="116" t="s">
        <v>86</v>
      </c>
    </row>
    <row r="26" spans="1:2" x14ac:dyDescent="0.2">
      <c r="A26" s="120" t="s">
        <v>55</v>
      </c>
      <c r="B26" s="115"/>
    </row>
    <row r="27" spans="1:2" x14ac:dyDescent="0.2">
      <c r="A27" s="116" t="s">
        <v>56</v>
      </c>
      <c r="B27" s="121" t="s">
        <v>87</v>
      </c>
    </row>
    <row r="28" spans="1:2" x14ac:dyDescent="0.2">
      <c r="A28" s="116" t="s">
        <v>57</v>
      </c>
      <c r="B28" s="116" t="s">
        <v>88</v>
      </c>
    </row>
    <row r="29" spans="1:2" x14ac:dyDescent="0.2">
      <c r="A29" s="116" t="s">
        <v>58</v>
      </c>
      <c r="B29" s="122" t="s">
        <v>89</v>
      </c>
    </row>
    <row r="30" spans="1:2" x14ac:dyDescent="0.2">
      <c r="A30" s="116" t="s">
        <v>59</v>
      </c>
      <c r="B30" s="123" t="s">
        <v>90</v>
      </c>
    </row>
    <row r="31" spans="1:2" x14ac:dyDescent="0.2">
      <c r="A31" s="116" t="s">
        <v>60</v>
      </c>
      <c r="B31" s="124"/>
    </row>
    <row r="32" spans="1:2" x14ac:dyDescent="0.2">
      <c r="A32" s="116" t="s">
        <v>60</v>
      </c>
      <c r="B32" s="125"/>
    </row>
    <row r="33" spans="1:2" x14ac:dyDescent="0.2">
      <c r="A33" s="116" t="s">
        <v>61</v>
      </c>
      <c r="B33" s="126" t="s">
        <v>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2C6E8-7DBF-40E5-B629-AB04971E9289}">
  <sheetPr codeName="Feuil2"/>
  <dimension ref="A1:S11"/>
  <sheetViews>
    <sheetView zoomScaleNormal="100" workbookViewId="0">
      <selection activeCell="A7" sqref="A7:L10"/>
    </sheetView>
  </sheetViews>
  <sheetFormatPr baseColWidth="10" defaultColWidth="11.42578125" defaultRowHeight="12.75" x14ac:dyDescent="0.2"/>
  <cols>
    <col min="1" max="12" width="9.7109375" style="1" customWidth="1"/>
    <col min="14" max="18" width="17.85546875" customWidth="1"/>
  </cols>
  <sheetData>
    <row r="1" spans="1:19" x14ac:dyDescent="0.2">
      <c r="H1"/>
      <c r="I1"/>
      <c r="J1"/>
      <c r="K1"/>
      <c r="L1"/>
      <c r="N1" s="64" t="s">
        <v>62</v>
      </c>
      <c r="O1" s="1" t="s">
        <v>71</v>
      </c>
      <c r="Q1" s="64" t="s">
        <v>63</v>
      </c>
      <c r="R1" s="1" t="s">
        <v>73</v>
      </c>
      <c r="S1" s="1"/>
    </row>
    <row r="2" spans="1:19" x14ac:dyDescent="0.2">
      <c r="H2"/>
      <c r="I2"/>
      <c r="J2"/>
      <c r="K2"/>
      <c r="L2"/>
      <c r="N2" s="64" t="s">
        <v>64</v>
      </c>
      <c r="O2" s="1" t="s">
        <v>72</v>
      </c>
      <c r="Q2" s="66" t="s">
        <v>65</v>
      </c>
      <c r="R2" s="1" t="s">
        <v>74</v>
      </c>
      <c r="S2" s="63"/>
    </row>
    <row r="3" spans="1:19" x14ac:dyDescent="0.2">
      <c r="H3"/>
      <c r="I3"/>
      <c r="J3"/>
      <c r="K3"/>
      <c r="L3"/>
      <c r="N3" s="64" t="s">
        <v>66</v>
      </c>
      <c r="O3" s="1" t="s">
        <v>72</v>
      </c>
      <c r="Q3" s="66"/>
      <c r="R3" s="1"/>
      <c r="S3" s="63"/>
    </row>
    <row r="4" spans="1:19" x14ac:dyDescent="0.2">
      <c r="H4" s="13"/>
      <c r="I4" s="13"/>
      <c r="J4" s="13"/>
      <c r="K4" s="13"/>
      <c r="L4" s="13"/>
      <c r="N4" s="65" t="s">
        <v>67</v>
      </c>
      <c r="O4" s="6" t="s">
        <v>68</v>
      </c>
      <c r="P4" s="13"/>
      <c r="Q4" s="62"/>
      <c r="R4" s="13"/>
      <c r="S4" s="62"/>
    </row>
    <row r="5" spans="1:19" x14ac:dyDescent="0.2">
      <c r="H5" s="13"/>
      <c r="I5" s="13"/>
      <c r="J5" s="13"/>
      <c r="K5" s="13"/>
      <c r="L5" s="13"/>
      <c r="N5" s="65" t="s">
        <v>69</v>
      </c>
      <c r="O5" s="6" t="s">
        <v>70</v>
      </c>
      <c r="P5" s="13"/>
      <c r="Q5" s="62"/>
      <c r="R5" s="13"/>
      <c r="S5" s="62"/>
    </row>
    <row r="6" spans="1:19" ht="13.5" thickBot="1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9" ht="13.5" thickBot="1" x14ac:dyDescent="0.25">
      <c r="A7" s="219" t="str">
        <f>UPPER("Acoustique")</f>
        <v>ACOUSTIQUE</v>
      </c>
      <c r="B7" s="220"/>
      <c r="C7" s="220"/>
      <c r="D7" s="220"/>
      <c r="E7" s="220"/>
      <c r="F7" s="220"/>
      <c r="G7" s="220"/>
      <c r="H7" s="220"/>
      <c r="I7" s="220"/>
      <c r="J7" s="220"/>
      <c r="K7" s="221"/>
      <c r="L7" s="71" t="str">
        <f>UPPER("acc")</f>
        <v>ACC</v>
      </c>
    </row>
    <row r="8" spans="1:19" x14ac:dyDescent="0.2">
      <c r="A8" s="216" t="str">
        <f>UPPER("ATS")</f>
        <v>ATS</v>
      </c>
      <c r="B8" s="217"/>
      <c r="C8" s="217"/>
      <c r="D8" s="217"/>
      <c r="E8" s="217"/>
      <c r="F8" s="217"/>
      <c r="G8" s="217"/>
      <c r="H8" s="217"/>
      <c r="I8" s="217"/>
      <c r="J8" s="217"/>
      <c r="K8" s="217"/>
      <c r="L8" s="218"/>
    </row>
    <row r="9" spans="1:19" ht="75.75" customHeight="1" thickBot="1" x14ac:dyDescent="0.25">
      <c r="A9" s="57" t="str">
        <f>UPPER(Contribute&amp;CHAR(10)&amp;"acc")</f>
        <v>CONTRIB.
ACC</v>
      </c>
      <c r="B9" s="56" t="str">
        <f>UPPER(Assigned&amp;CHAR(10)&amp;"acc"&amp;" - CL")</f>
        <v>ASSIGNÉ
ACC - CL</v>
      </c>
      <c r="C9" s="56" t="str">
        <f>UPPER(Status&amp;CHAR(10)&amp;"acc"&amp;" - CL")</f>
        <v>STATUT
ACC - CL</v>
      </c>
      <c r="D9" s="56" t="str">
        <f>UPPER(Comment&amp;CHAR(10)&amp;"acc"&amp;" - CL")</f>
        <v>COMMENT.
ACC - CL</v>
      </c>
      <c r="E9" s="56" t="str">
        <f>UPPER(Attachment&amp;CHAR(10)&amp;"acc"&amp;" - CL")</f>
        <v>PIÈCE J.
ACC - CL</v>
      </c>
      <c r="F9" s="56" t="str">
        <f>UPPER(Annotation&amp;CHAR(10)&amp;"acc"&amp;" - CL")</f>
        <v>ANNOTATION
ACC - CL</v>
      </c>
      <c r="G9" s="38" t="str">
        <f>UPPER(Deadline&amp;CHAR(10)&amp;"acc"&amp;" - CL")</f>
        <v>ÉCHÉANCE
ACC - CL</v>
      </c>
      <c r="H9" s="58" t="str">
        <f>UPPER(ApprovalDate&amp;CHAR(10)&amp;"acc"&amp;" - CL")</f>
        <v>DATE APPROB.
ACC - CL</v>
      </c>
      <c r="I9" s="58" t="str">
        <f>UPPER(Status&amp;CHAR(10)&amp;"acc")</f>
        <v>STATUT
ACC</v>
      </c>
      <c r="J9" s="58" t="str">
        <f>UPPER(ApprovalDate&amp;CHAR(10)&amp;"acc")</f>
        <v>DATE APPROB.
ACC</v>
      </c>
      <c r="K9" s="58" t="str">
        <f>UPPER("Workflow Status")</f>
        <v>WORKFLOW STATUS</v>
      </c>
      <c r="L9" s="51" t="str">
        <f>UPPER(Delay&amp;CHAR(10)&amp;"Approb "&amp;CHAR(10)&amp;"acc")</f>
        <v>DÉLAI
APPROB 
ACC</v>
      </c>
    </row>
    <row r="10" spans="1:19" ht="56.25" customHeight="1" thickBot="1" x14ac:dyDescent="0.25">
      <c r="A10" s="67" t="str">
        <f>IF(B10&lt;&gt;"","X","")</f>
        <v>X</v>
      </c>
      <c r="B10" s="68" t="s">
        <v>118</v>
      </c>
      <c r="C10" s="68" t="s">
        <v>119</v>
      </c>
      <c r="D10" s="68" t="s">
        <v>120</v>
      </c>
      <c r="E10" s="68" t="s">
        <v>121</v>
      </c>
      <c r="F10" s="68" t="s">
        <v>122</v>
      </c>
      <c r="G10" s="69" t="s">
        <v>123</v>
      </c>
      <c r="H10" s="69" t="s">
        <v>124</v>
      </c>
      <c r="I10" s="68" t="str">
        <f>IF(AND(B10&lt;&gt;"",C10=""),IF($U10="NONE",IF(G10&lt;&gt;"","To do","To come"),""),C10)</f>
        <v>${actions.wust_rhea_action_acc.wust_rhea_answer}</v>
      </c>
      <c r="J10" s="69" t="str">
        <f>IF(H10&lt;&gt;"",H10,"")</f>
        <v>${actions.wust_rhea_action_acc.completedate}</v>
      </c>
      <c r="K10" s="130" t="s">
        <v>15</v>
      </c>
      <c r="L10" s="70" t="e">
        <f>IF(B10="","",IF(AND(K10="NONE",G10=""),Config!$B$6,IF(C10&lt;&gt;"",IF(G10-H10&gt;0,_xlfn.DAYS(G10,H10)&amp;Config!$B$2,_xlfn.DAYS(H10,G10)&amp;Config!$B$4),IF(G10-REFERENCE_DATE&gt;0,_xlfn.DAYS(G10,REFERENCE_DATE)&amp;Config!$B$3,IF(K10="NONE",_xlfn.DAYS(REFERENCE_DATE,G10)&amp;Config!$B$5,"")))))</f>
        <v>#VALUE!</v>
      </c>
    </row>
    <row r="11" spans="1:19" x14ac:dyDescent="0.2">
      <c r="A11" s="60"/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</row>
  </sheetData>
  <mergeCells count="2">
    <mergeCell ref="A8:L8"/>
    <mergeCell ref="A7:K7"/>
  </mergeCells>
  <conditionalFormatting sqref="A11:L9983">
    <cfRule type="containsText" dxfId="20" priority="36" operator="containsText" text="earlier">
      <formula>NOT(ISERROR(SEARCH("earlier",A11)))</formula>
    </cfRule>
    <cfRule type="containsText" dxfId="19" priority="37" operator="containsText" text="later">
      <formula>NOT(ISERROR(SEARCH("later",A11)))</formula>
    </cfRule>
  </conditionalFormatting>
  <conditionalFormatting sqref="A11:L9983">
    <cfRule type="cellIs" dxfId="18" priority="38" operator="equal">
      <formula>"A"</formula>
    </cfRule>
    <cfRule type="cellIs" dxfId="17" priority="39" operator="equal">
      <formula>"C"</formula>
    </cfRule>
    <cfRule type="cellIs" dxfId="16" priority="40" operator="equal">
      <formula>"D"</formula>
    </cfRule>
    <cfRule type="cellIs" dxfId="15" priority="41" operator="equal">
      <formula>"W"</formula>
    </cfRule>
    <cfRule type="cellIs" dxfId="14" priority="42" operator="equal">
      <formula>"B"</formula>
    </cfRule>
  </conditionalFormatting>
  <conditionalFormatting sqref="A10:K10">
    <cfRule type="containsText" dxfId="13" priority="22" operator="containsText" text="earlier">
      <formula>NOT(ISERROR(SEARCH("earlier",A10)))</formula>
    </cfRule>
    <cfRule type="containsText" dxfId="12" priority="23" operator="containsText" text="later">
      <formula>NOT(ISERROR(SEARCH("later",A10)))</formula>
    </cfRule>
  </conditionalFormatting>
  <conditionalFormatting sqref="A10:K10">
    <cfRule type="cellIs" dxfId="11" priority="24" operator="equal">
      <formula>"A"</formula>
    </cfRule>
    <cfRule type="cellIs" dxfId="10" priority="25" operator="equal">
      <formula>"C"</formula>
    </cfRule>
    <cfRule type="cellIs" dxfId="9" priority="26" operator="equal">
      <formula>"D"</formula>
    </cfRule>
    <cfRule type="cellIs" dxfId="8" priority="27" operator="equal">
      <formula>"W"</formula>
    </cfRule>
    <cfRule type="cellIs" dxfId="7" priority="28" operator="equal">
      <formula>"B"</formula>
    </cfRule>
  </conditionalFormatting>
  <conditionalFormatting sqref="L10">
    <cfRule type="containsText" dxfId="6" priority="15" operator="containsText" text="earlier">
      <formula>NOT(ISERROR(SEARCH("earlier",L10)))</formula>
    </cfRule>
    <cfRule type="containsText" dxfId="5" priority="16" operator="containsText" text="later">
      <formula>NOT(ISERROR(SEARCH("later",L10)))</formula>
    </cfRule>
  </conditionalFormatting>
  <conditionalFormatting sqref="L10">
    <cfRule type="cellIs" dxfId="4" priority="17" operator="equal">
      <formula>"A"</formula>
    </cfRule>
    <cfRule type="cellIs" dxfId="3" priority="18" operator="equal">
      <formula>"C"</formula>
    </cfRule>
    <cfRule type="cellIs" dxfId="2" priority="19" operator="equal">
      <formula>"D"</formula>
    </cfRule>
    <cfRule type="cellIs" dxfId="1" priority="20" operator="equal">
      <formula>"W"</formula>
    </cfRule>
    <cfRule type="cellIs" dxfId="0" priority="21" operator="equal">
      <formula>"B"</formula>
    </cfRule>
  </conditionalFormatting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Config">
                <anchor moveWithCells="1" sizeWithCells="1">
                  <from>
                    <xdr:col>12</xdr:col>
                    <xdr:colOff>742950</xdr:colOff>
                    <xdr:row>8</xdr:row>
                    <xdr:rowOff>161925</xdr:rowOff>
                  </from>
                  <to>
                    <xdr:col>15</xdr:col>
                    <xdr:colOff>57150</xdr:colOff>
                    <xdr:row>8</xdr:row>
                    <xdr:rowOff>523875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68D3F90467B0548B7EEEB13CD9D7B24" ma:contentTypeVersion="14" ma:contentTypeDescription="Create a new document." ma:contentTypeScope="" ma:versionID="276772045902cc6a8a3900976688181f">
  <xsd:schema xmlns:xsd="http://www.w3.org/2001/XMLSchema" xmlns:xs="http://www.w3.org/2001/XMLSchema" xmlns:p="http://schemas.microsoft.com/office/2006/metadata/properties" xmlns:ns2="985010d6-3a4f-44ef-b1de-24cba3872c66" xmlns:ns3="009dc3eb-5719-41e6-be0e-6f16f2a7e452" targetNamespace="http://schemas.microsoft.com/office/2006/metadata/properties" ma:root="true" ma:fieldsID="8144911ca42efb66ae71eaf0695b4123" ns2:_="" ns3:_="">
    <xsd:import namespace="985010d6-3a4f-44ef-b1de-24cba3872c66"/>
    <xsd:import namespace="009dc3eb-5719-41e6-be0e-6f16f2a7e4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5010d6-3a4f-44ef-b1de-24cba3872c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c57a9e4d-96b3-430c-9aed-b5454b0713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9dc3eb-5719-41e6-be0e-6f16f2a7e452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97c69298-e126-4b11-8709-342ff0e2a81b}" ma:internalName="TaxCatchAll" ma:showField="CatchAllData" ma:web="009dc3eb-5719-41e6-be0e-6f16f2a7e45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85010d6-3a4f-44ef-b1de-24cba3872c66">
      <Terms xmlns="http://schemas.microsoft.com/office/infopath/2007/PartnerControls"/>
    </lcf76f155ced4ddcb4097134ff3c332f>
    <TaxCatchAll xmlns="009dc3eb-5719-41e6-be0e-6f16f2a7e452" xsi:nil="true"/>
  </documentManagement>
</p:properties>
</file>

<file path=customXml/itemProps1.xml><?xml version="1.0" encoding="utf-8"?>
<ds:datastoreItem xmlns:ds="http://schemas.openxmlformats.org/officeDocument/2006/customXml" ds:itemID="{8EB7F209-6813-482B-A970-009D6CD8BA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5010d6-3a4f-44ef-b1de-24cba3872c66"/>
    <ds:schemaRef ds:uri="009dc3eb-5719-41e6-be0e-6f16f2a7e4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67EA590-D600-4239-A35C-0FA236CF8C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FD710A3-2825-4F35-AA1D-C797D985013E}">
  <ds:schemaRefs>
    <ds:schemaRef ds:uri="985010d6-3a4f-44ef-b1de-24cba3872c66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009dc3eb-5719-41e6-be0e-6f16f2a7e452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39</vt:i4>
      </vt:variant>
    </vt:vector>
  </HeadingPairs>
  <TitlesOfParts>
    <vt:vector size="43" baseType="lpstr">
      <vt:lpstr>Workflow</vt:lpstr>
      <vt:lpstr>Workflow Externe</vt:lpstr>
      <vt:lpstr>Config</vt:lpstr>
      <vt:lpstr>Generator</vt:lpstr>
      <vt:lpstr>Aborted</vt:lpstr>
      <vt:lpstr>Annotation</vt:lpstr>
      <vt:lpstr>ApprovalDate</vt:lpstr>
      <vt:lpstr>Assigned</vt:lpstr>
      <vt:lpstr>Attachment</vt:lpstr>
      <vt:lpstr>Comment</vt:lpstr>
      <vt:lpstr>Contribute</vt:lpstr>
      <vt:lpstr>Current</vt:lpstr>
      <vt:lpstr>DaysEarlier</vt:lpstr>
      <vt:lpstr>DaysLater</vt:lpstr>
      <vt:lpstr>DaysLeft</vt:lpstr>
      <vt:lpstr>DaysOverdue</vt:lpstr>
      <vt:lpstr>Deadline</vt:lpstr>
      <vt:lpstr>Delay</vt:lpstr>
      <vt:lpstr>Workflow!Impression_des_titres</vt:lpstr>
      <vt:lpstr>'Workflow Externe'!Impression_des_titres</vt:lpstr>
      <vt:lpstr>Link</vt:lpstr>
      <vt:lpstr>Negative</vt:lpstr>
      <vt:lpstr>None</vt:lpstr>
      <vt:lpstr>Positive</vt:lpstr>
      <vt:lpstr>Previous</vt:lpstr>
      <vt:lpstr>REFERENCE_DATE</vt:lpstr>
      <vt:lpstr>Status</vt:lpstr>
      <vt:lpstr>Status1</vt:lpstr>
      <vt:lpstr>Status2</vt:lpstr>
      <vt:lpstr>Status3</vt:lpstr>
      <vt:lpstr>Status4</vt:lpstr>
      <vt:lpstr>Status5</vt:lpstr>
      <vt:lpstr>Status6</vt:lpstr>
      <vt:lpstr>StatusKey1</vt:lpstr>
      <vt:lpstr>StatusKey2</vt:lpstr>
      <vt:lpstr>StatusKey3</vt:lpstr>
      <vt:lpstr>StatusKey4</vt:lpstr>
      <vt:lpstr>StatusKey5</vt:lpstr>
      <vt:lpstr>StatusKey6</vt:lpstr>
      <vt:lpstr>StatusKeyToDo</vt:lpstr>
      <vt:lpstr>StatusToDo</vt:lpstr>
      <vt:lpstr>Workflow!Zone_d_impression</vt:lpstr>
      <vt:lpstr>'Workflow Externe'!Zone_d_impression</vt:lpstr>
    </vt:vector>
  </TitlesOfParts>
  <Manager/>
  <Company>Architecte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Joël Meersseman</dc:creator>
  <cp:lastModifiedBy>Axel Palmaers [Cooperlink]</cp:lastModifiedBy>
  <dcterms:created xsi:type="dcterms:W3CDTF">2004-01-26T10:30:04Z</dcterms:created>
  <dcterms:modified xsi:type="dcterms:W3CDTF">2022-12-02T14:11:22Z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0x010100C68D3F90467B0548B7EEEB13CD9D7B24</vt:lpwstr>
  </property>
  <property fmtid="{D5CDD505-2E9C-101B-9397-08002B2CF9AE}" pid="3" name="_dlc_DocIdItemGuid">
    <vt:lpwstr>2bc8fdbf-5a46-43b9-907f-ceca3f84505a</vt:lpwstr>
  </property>
  <property fmtid="{D5CDD505-2E9C-101B-9397-08002B2CF9AE}" pid="4" name="MediaServiceImageTags">
    <vt:lpwstr/>
  </property>
</Properties>
</file>